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workbookPr defaultThemeVersion="166925"/>
  <mc:AlternateContent xmlns:mc="http://schemas.openxmlformats.org/markup-compatibility/2006">
    <mc:Choice Requires="x15">
      <x15ac:absPath xmlns:x15ac="http://schemas.microsoft.com/office/spreadsheetml/2010/11/ac" url="C:\Users\PC\Documents\Krishna\Die Grünen\Grüne Zeiten\Leitfaden Heizsysteme\"/>
    </mc:Choice>
  </mc:AlternateContent>
  <xr:revisionPtr revIDLastSave="0" documentId="8_{A04BEEF2-D176-44C1-BB6D-73E792AB4F7C}" xr6:coauthVersionLast="47" xr6:coauthVersionMax="47" xr10:uidLastSave="{00000000-0000-0000-0000-000000000000}"/>
  <bookViews>
    <workbookView xWindow="-110" yWindow="-110" windowWidth="19420" windowHeight="10420" xr2:uid="{00EC1838-8AC9-4FD3-99E1-156A66A935DA}"/>
  </bookViews>
  <sheets>
    <sheet name="Kosten und CO2-Emissionen 2023" sheetId="2" r:id="rId1"/>
    <sheet name="Kosten und CO2-Emissionen 2042" sheetId="7" r:id="rId2"/>
    <sheet name="Grafik" sheetId="5" r:id="rId3"/>
    <sheet name="Anschaffung und Förderung BEG" sheetId="1" r:id="rId4"/>
    <sheet name="Geothermie Landkreis-Vergleich" sheetId="4" r:id="rId5"/>
    <sheet name="Preisentwicklung" sheetId="3"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1" i="7" l="1"/>
  <c r="K22" i="7"/>
  <c r="K23" i="7"/>
  <c r="K24" i="7"/>
  <c r="K25" i="7"/>
  <c r="K20" i="7"/>
  <c r="K11" i="7"/>
  <c r="K12" i="7"/>
  <c r="K13" i="7"/>
  <c r="Q13" i="7" s="1"/>
  <c r="K14" i="7"/>
  <c r="K15" i="7"/>
  <c r="K10" i="7"/>
  <c r="P25" i="7"/>
  <c r="N25" i="7"/>
  <c r="L25" i="7"/>
  <c r="E25" i="7"/>
  <c r="G25" i="7" s="1"/>
  <c r="I25" i="7" s="1"/>
  <c r="N24" i="7"/>
  <c r="G24" i="7"/>
  <c r="I24" i="7" s="1"/>
  <c r="D24" i="7"/>
  <c r="C24" i="7"/>
  <c r="B24" i="7"/>
  <c r="P23" i="7"/>
  <c r="N23" i="7"/>
  <c r="G23" i="7"/>
  <c r="I23" i="7" s="1"/>
  <c r="D23" i="7"/>
  <c r="C23" i="7"/>
  <c r="B23" i="7"/>
  <c r="P22" i="7"/>
  <c r="N22" i="7"/>
  <c r="G22" i="7"/>
  <c r="I22" i="7" s="1"/>
  <c r="D22" i="7"/>
  <c r="C22" i="7"/>
  <c r="B22" i="7"/>
  <c r="P21" i="7"/>
  <c r="N21" i="7"/>
  <c r="G21" i="7"/>
  <c r="I21" i="7" s="1"/>
  <c r="D21" i="7"/>
  <c r="C21" i="7"/>
  <c r="B21" i="7"/>
  <c r="P20" i="7"/>
  <c r="N20" i="7"/>
  <c r="G20" i="7"/>
  <c r="I20" i="7" s="1"/>
  <c r="D20" i="7"/>
  <c r="C20" i="7"/>
  <c r="B20" i="7"/>
  <c r="L15" i="7"/>
  <c r="E15" i="7"/>
  <c r="G15" i="7" s="1"/>
  <c r="I15" i="7" s="1"/>
  <c r="P14" i="7"/>
  <c r="P24" i="7" s="1"/>
  <c r="L14" i="7"/>
  <c r="L24" i="7" s="1"/>
  <c r="G14" i="7"/>
  <c r="I14" i="7" s="1"/>
  <c r="D14" i="7"/>
  <c r="G13" i="7"/>
  <c r="I13" i="7" s="1"/>
  <c r="D13" i="7"/>
  <c r="L12" i="7"/>
  <c r="L13" i="7" s="1"/>
  <c r="L23" i="7" s="1"/>
  <c r="G12" i="7"/>
  <c r="I12" i="7" s="1"/>
  <c r="D12" i="7"/>
  <c r="L11" i="7"/>
  <c r="L21" i="7" s="1"/>
  <c r="G11" i="7"/>
  <c r="I11" i="7" s="1"/>
  <c r="D11" i="7"/>
  <c r="L10" i="7"/>
  <c r="L20" i="7" s="1"/>
  <c r="G10" i="7"/>
  <c r="I10" i="7" s="1"/>
  <c r="D10" i="7"/>
  <c r="L24" i="2"/>
  <c r="L14" i="2"/>
  <c r="K15" i="2"/>
  <c r="Q15" i="2" s="1"/>
  <c r="B5" i="5" s="1"/>
  <c r="P33" i="4"/>
  <c r="P13" i="4"/>
  <c r="Q7" i="4"/>
  <c r="J25" i="4"/>
  <c r="Q38" i="4" s="1"/>
  <c r="J24" i="4"/>
  <c r="Q33" i="4" s="1"/>
  <c r="J5" i="4"/>
  <c r="Q17" i="4" s="1"/>
  <c r="Q20" i="4" s="1"/>
  <c r="J4" i="4"/>
  <c r="K15" i="4" s="1"/>
  <c r="E17" i="4"/>
  <c r="E20" i="4" s="1"/>
  <c r="E25" i="2"/>
  <c r="G25" i="2" s="1"/>
  <c r="I25" i="2" s="1"/>
  <c r="E15" i="2"/>
  <c r="G15" i="2" s="1"/>
  <c r="I15" i="2" s="1"/>
  <c r="O22" i="4"/>
  <c r="I22" i="4"/>
  <c r="F22" i="4"/>
  <c r="C22" i="4"/>
  <c r="K17" i="4"/>
  <c r="K20" i="4" s="1"/>
  <c r="H17" i="4"/>
  <c r="H20" i="4" s="1"/>
  <c r="F10" i="3"/>
  <c r="G10" i="3" s="1"/>
  <c r="H10" i="3" s="1"/>
  <c r="I10" i="3" s="1"/>
  <c r="J10" i="3" s="1"/>
  <c r="K10" i="3" s="1"/>
  <c r="L10" i="3" s="1"/>
  <c r="M10" i="3" s="1"/>
  <c r="N10" i="3" s="1"/>
  <c r="O10" i="3" s="1"/>
  <c r="P10" i="3" s="1"/>
  <c r="Q10" i="3" s="1"/>
  <c r="R10" i="3" s="1"/>
  <c r="S10" i="3" s="1"/>
  <c r="T10" i="3" s="1"/>
  <c r="U10" i="3" s="1"/>
  <c r="V10" i="3" s="1"/>
  <c r="W10" i="3" s="1"/>
  <c r="X10" i="3" s="1"/>
  <c r="Y10" i="3" s="1"/>
  <c r="A21" i="2"/>
  <c r="A20" i="2"/>
  <c r="D24" i="2"/>
  <c r="D23" i="2"/>
  <c r="D22" i="2"/>
  <c r="D21" i="2"/>
  <c r="D20" i="2"/>
  <c r="D14" i="2"/>
  <c r="D13" i="2"/>
  <c r="D12" i="2"/>
  <c r="D11" i="2"/>
  <c r="D10" i="2"/>
  <c r="K21" i="2"/>
  <c r="K22" i="2"/>
  <c r="K23" i="2"/>
  <c r="K24" i="2"/>
  <c r="K25" i="2"/>
  <c r="K20" i="2"/>
  <c r="K11" i="2"/>
  <c r="Q11" i="2" s="1"/>
  <c r="B7" i="5" s="1"/>
  <c r="K12" i="2"/>
  <c r="K13" i="2"/>
  <c r="Q13" i="2" s="1"/>
  <c r="B4" i="5" s="1"/>
  <c r="K14" i="2"/>
  <c r="K10" i="2"/>
  <c r="A23" i="2"/>
  <c r="A22" i="2"/>
  <c r="Z12" i="3"/>
  <c r="G14" i="3"/>
  <c r="H14" i="3"/>
  <c r="I14" i="3"/>
  <c r="I16" i="3" s="1"/>
  <c r="J14" i="3"/>
  <c r="K14" i="3"/>
  <c r="L14" i="3"/>
  <c r="M14" i="3"/>
  <c r="M16" i="3" s="1"/>
  <c r="N14" i="3"/>
  <c r="O14" i="3"/>
  <c r="P14" i="3"/>
  <c r="Q14" i="3"/>
  <c r="Q16" i="3" s="1"/>
  <c r="R14" i="3"/>
  <c r="S14" i="3"/>
  <c r="T14" i="3"/>
  <c r="U14" i="3"/>
  <c r="U16" i="3" s="1"/>
  <c r="V14" i="3"/>
  <c r="W14" i="3"/>
  <c r="X14" i="3"/>
  <c r="Y14" i="3"/>
  <c r="Y16" i="3" s="1"/>
  <c r="G15" i="3"/>
  <c r="H15" i="3"/>
  <c r="H16" i="3" s="1"/>
  <c r="I15" i="3"/>
  <c r="J15" i="3"/>
  <c r="K15" i="3"/>
  <c r="L15" i="3"/>
  <c r="L16" i="3" s="1"/>
  <c r="M15" i="3"/>
  <c r="N15" i="3"/>
  <c r="O15" i="3"/>
  <c r="P15" i="3"/>
  <c r="P16" i="3" s="1"/>
  <c r="Q15" i="3"/>
  <c r="R15" i="3"/>
  <c r="S15" i="3"/>
  <c r="T15" i="3"/>
  <c r="T16" i="3" s="1"/>
  <c r="U15" i="3"/>
  <c r="V15" i="3"/>
  <c r="W15" i="3"/>
  <c r="X15" i="3"/>
  <c r="X16" i="3" s="1"/>
  <c r="Y15" i="3"/>
  <c r="F15" i="3"/>
  <c r="Z15" i="3" s="1"/>
  <c r="F14" i="3"/>
  <c r="X6" i="3"/>
  <c r="H6" i="3"/>
  <c r="I6" i="3" s="1"/>
  <c r="J6" i="3" s="1"/>
  <c r="K6" i="3" s="1"/>
  <c r="L6" i="3" s="1"/>
  <c r="M6" i="3" s="1"/>
  <c r="N6" i="3" s="1"/>
  <c r="O6" i="3" s="1"/>
  <c r="P6" i="3" s="1"/>
  <c r="Q6" i="3" s="1"/>
  <c r="R6" i="3" s="1"/>
  <c r="S6" i="3" s="1"/>
  <c r="T6" i="3" s="1"/>
  <c r="U6" i="3" s="1"/>
  <c r="V6" i="3" s="1"/>
  <c r="I8" i="3"/>
  <c r="J8" i="3" s="1"/>
  <c r="K8" i="3" s="1"/>
  <c r="L8" i="3" s="1"/>
  <c r="M8" i="3" s="1"/>
  <c r="N8" i="3" s="1"/>
  <c r="O8" i="3" s="1"/>
  <c r="P8" i="3" s="1"/>
  <c r="Q8" i="3" s="1"/>
  <c r="R8" i="3" s="1"/>
  <c r="S8" i="3" s="1"/>
  <c r="T8" i="3" s="1"/>
  <c r="U8" i="3" s="1"/>
  <c r="V8" i="3" s="1"/>
  <c r="W8" i="3" s="1"/>
  <c r="X8" i="3" s="1"/>
  <c r="F6" i="3"/>
  <c r="Z6" i="3" s="1"/>
  <c r="F8" i="3"/>
  <c r="Z8" i="3" s="1"/>
  <c r="F9" i="3"/>
  <c r="F5" i="3"/>
  <c r="P23" i="2"/>
  <c r="N23" i="2"/>
  <c r="G23" i="2"/>
  <c r="I23" i="2" s="1"/>
  <c r="C23" i="2"/>
  <c r="B23" i="2"/>
  <c r="G10" i="2"/>
  <c r="I10" i="2" s="1"/>
  <c r="L10" i="2"/>
  <c r="G11" i="2"/>
  <c r="I11" i="2" s="1"/>
  <c r="L11" i="2"/>
  <c r="G12" i="2"/>
  <c r="I12" i="2" s="1"/>
  <c r="G13" i="2"/>
  <c r="I13" i="2" s="1"/>
  <c r="G14" i="2"/>
  <c r="I14" i="2" s="1"/>
  <c r="P14" i="2"/>
  <c r="P24" i="2" s="1"/>
  <c r="L15" i="2"/>
  <c r="B20" i="2"/>
  <c r="C20" i="2"/>
  <c r="G20" i="2"/>
  <c r="I20" i="2" s="1"/>
  <c r="L20" i="2"/>
  <c r="N20" i="2"/>
  <c r="P20" i="2"/>
  <c r="B21" i="2"/>
  <c r="C21" i="2"/>
  <c r="G21" i="2"/>
  <c r="I21" i="2" s="1"/>
  <c r="L21" i="2"/>
  <c r="N21" i="2"/>
  <c r="P21" i="2"/>
  <c r="B22" i="2"/>
  <c r="C22" i="2"/>
  <c r="G22" i="2"/>
  <c r="I22" i="2" s="1"/>
  <c r="N22" i="2"/>
  <c r="P22" i="2"/>
  <c r="B24" i="2"/>
  <c r="C24" i="2"/>
  <c r="G24" i="2"/>
  <c r="I24" i="2" s="1"/>
  <c r="N24" i="2"/>
  <c r="B25" i="2"/>
  <c r="C25" i="2"/>
  <c r="L25" i="2"/>
  <c r="N25" i="2"/>
  <c r="P25" i="2"/>
  <c r="Q37" i="4"/>
  <c r="Q31" i="4"/>
  <c r="K39" i="4"/>
  <c r="K40" i="4" s="1"/>
  <c r="K41" i="4" s="1"/>
  <c r="H39" i="4"/>
  <c r="H40" i="4" s="1"/>
  <c r="H41" i="4" s="1"/>
  <c r="E39" i="4"/>
  <c r="E40" i="4" s="1"/>
  <c r="E41" i="4" s="1"/>
  <c r="Q11" i="4"/>
  <c r="G33" i="4"/>
  <c r="G13" i="4"/>
  <c r="K31" i="4"/>
  <c r="E31" i="4"/>
  <c r="K11" i="4"/>
  <c r="E11" i="4"/>
  <c r="B7" i="3"/>
  <c r="L22" i="2" s="1"/>
  <c r="J5" i="1"/>
  <c r="J6" i="1"/>
  <c r="J7" i="1"/>
  <c r="J8" i="1"/>
  <c r="J10" i="1"/>
  <c r="J11" i="1"/>
  <c r="J12" i="1"/>
  <c r="J13" i="1"/>
  <c r="J14" i="1"/>
  <c r="J15" i="1"/>
  <c r="J4" i="1"/>
  <c r="M20" i="7" l="1"/>
  <c r="O20" i="7" s="1"/>
  <c r="M23" i="7"/>
  <c r="O23" i="7" s="1"/>
  <c r="M21" i="7"/>
  <c r="O21" i="7" s="1"/>
  <c r="Q22" i="7"/>
  <c r="Q21" i="7"/>
  <c r="Q20" i="7"/>
  <c r="M10" i="7"/>
  <c r="O10" i="7" s="1"/>
  <c r="M11" i="7"/>
  <c r="O11" i="7" s="1"/>
  <c r="M12" i="7"/>
  <c r="O12" i="7" s="1"/>
  <c r="M24" i="7"/>
  <c r="O24" i="7" s="1"/>
  <c r="Q25" i="7"/>
  <c r="Q24" i="7"/>
  <c r="L22" i="7"/>
  <c r="M22" i="7" s="1"/>
  <c r="O22" i="7" s="1"/>
  <c r="Q14" i="7"/>
  <c r="M15" i="7"/>
  <c r="O15" i="7" s="1"/>
  <c r="Q23" i="7"/>
  <c r="Q10" i="7"/>
  <c r="Q11" i="7"/>
  <c r="Q12" i="7"/>
  <c r="Q15" i="7"/>
  <c r="M13" i="7"/>
  <c r="O13" i="7" s="1"/>
  <c r="M14" i="7"/>
  <c r="O14" i="7" s="1"/>
  <c r="M25" i="7"/>
  <c r="O25" i="7" s="1"/>
  <c r="H21" i="4"/>
  <c r="H22" i="4" s="1"/>
  <c r="K21" i="4"/>
  <c r="K22" i="4" s="1"/>
  <c r="Q19" i="4"/>
  <c r="Q21" i="4" s="1"/>
  <c r="Q22" i="4" s="1"/>
  <c r="E7" i="4"/>
  <c r="K35" i="4"/>
  <c r="N7" i="4"/>
  <c r="K7" i="4"/>
  <c r="M25" i="2"/>
  <c r="O25" i="2" s="1"/>
  <c r="C15" i="5" s="1"/>
  <c r="Q24" i="2"/>
  <c r="B16" i="5" s="1"/>
  <c r="Q14" i="2"/>
  <c r="B6" i="5" s="1"/>
  <c r="M15" i="2"/>
  <c r="O15" i="2" s="1"/>
  <c r="C5" i="5" s="1"/>
  <c r="N27" i="4"/>
  <c r="E27" i="4"/>
  <c r="H27" i="4"/>
  <c r="N31" i="4"/>
  <c r="N37" i="4"/>
  <c r="N39" i="4" s="1"/>
  <c r="E33" i="4"/>
  <c r="N35" i="4"/>
  <c r="H33" i="4"/>
  <c r="K33" i="4"/>
  <c r="N13" i="4"/>
  <c r="N15" i="4"/>
  <c r="H7" i="4"/>
  <c r="N33" i="4"/>
  <c r="H13" i="4"/>
  <c r="N11" i="4"/>
  <c r="K27" i="4"/>
  <c r="N17" i="4"/>
  <c r="E13" i="4"/>
  <c r="Q13" i="4"/>
  <c r="K13" i="4"/>
  <c r="E21" i="4"/>
  <c r="E22" i="4" s="1"/>
  <c r="G9" i="3"/>
  <c r="H9" i="3" s="1"/>
  <c r="I9" i="3" s="1"/>
  <c r="J9" i="3" s="1"/>
  <c r="K9" i="3" s="1"/>
  <c r="L9" i="3" s="1"/>
  <c r="M9" i="3" s="1"/>
  <c r="N9" i="3" s="1"/>
  <c r="O9" i="3" s="1"/>
  <c r="P9" i="3" s="1"/>
  <c r="Q9" i="3" s="1"/>
  <c r="R9" i="3" s="1"/>
  <c r="S9" i="3" s="1"/>
  <c r="T9" i="3" s="1"/>
  <c r="U9" i="3" s="1"/>
  <c r="V9" i="3" s="1"/>
  <c r="W9" i="3" s="1"/>
  <c r="X9" i="3" s="1"/>
  <c r="Y9" i="3" s="1"/>
  <c r="W16" i="3"/>
  <c r="S16" i="3"/>
  <c r="O16" i="3"/>
  <c r="K16" i="3"/>
  <c r="F7" i="3"/>
  <c r="G7" i="3" s="1"/>
  <c r="H7" i="3" s="1"/>
  <c r="I7" i="3" s="1"/>
  <c r="J7" i="3" s="1"/>
  <c r="K7" i="3" s="1"/>
  <c r="L7" i="3" s="1"/>
  <c r="M7" i="3" s="1"/>
  <c r="N7" i="3" s="1"/>
  <c r="O7" i="3" s="1"/>
  <c r="P7" i="3" s="1"/>
  <c r="Q7" i="3" s="1"/>
  <c r="R7" i="3" s="1"/>
  <c r="S7" i="3" s="1"/>
  <c r="T7" i="3" s="1"/>
  <c r="U7" i="3" s="1"/>
  <c r="V7" i="3" s="1"/>
  <c r="W7" i="3" s="1"/>
  <c r="X7" i="3" s="1"/>
  <c r="Y7" i="3" s="1"/>
  <c r="G16" i="3"/>
  <c r="Z14" i="3"/>
  <c r="V16" i="3"/>
  <c r="R16" i="3"/>
  <c r="N16" i="3"/>
  <c r="L23" i="2"/>
  <c r="M23" i="2" s="1"/>
  <c r="O23" i="2" s="1"/>
  <c r="C14" i="5" s="1"/>
  <c r="J16" i="3"/>
  <c r="L13" i="2"/>
  <c r="M13" i="2" s="1"/>
  <c r="O13" i="2" s="1"/>
  <c r="C4" i="5" s="1"/>
  <c r="L12" i="2"/>
  <c r="M12" i="2" s="1"/>
  <c r="O12" i="2" s="1"/>
  <c r="C9" i="5" s="1"/>
  <c r="Z7" i="3"/>
  <c r="W5" i="3"/>
  <c r="X5" i="3" s="1"/>
  <c r="Y5" i="3" s="1"/>
  <c r="Z10" i="3"/>
  <c r="Z9" i="3"/>
  <c r="F16" i="3"/>
  <c r="Z16" i="3" s="1"/>
  <c r="Q22" i="2"/>
  <c r="B19" i="5" s="1"/>
  <c r="Q23" i="2"/>
  <c r="B14" i="5" s="1"/>
  <c r="M10" i="2"/>
  <c r="O10" i="2" s="1"/>
  <c r="C8" i="5" s="1"/>
  <c r="M24" i="2"/>
  <c r="O24" i="2" s="1"/>
  <c r="C16" i="5" s="1"/>
  <c r="M20" i="2"/>
  <c r="O20" i="2" s="1"/>
  <c r="C18" i="5" s="1"/>
  <c r="M11" i="2"/>
  <c r="O11" i="2" s="1"/>
  <c r="C7" i="5" s="1"/>
  <c r="Q10" i="2"/>
  <c r="B8" i="5" s="1"/>
  <c r="Q21" i="2"/>
  <c r="B17" i="5" s="1"/>
  <c r="M22" i="2"/>
  <c r="O22" i="2" s="1"/>
  <c r="C19" i="5" s="1"/>
  <c r="Q12" i="2"/>
  <c r="B9" i="5" s="1"/>
  <c r="M21" i="2"/>
  <c r="O21" i="2" s="1"/>
  <c r="C17" i="5" s="1"/>
  <c r="M14" i="2"/>
  <c r="O14" i="2" s="1"/>
  <c r="C6" i="5" s="1"/>
  <c r="Q25" i="2"/>
  <c r="B15" i="5" s="1"/>
  <c r="Q20" i="2"/>
  <c r="B18" i="5" s="1"/>
  <c r="Q39" i="4"/>
  <c r="Q40" i="4" s="1"/>
  <c r="Q41" i="4" s="1"/>
  <c r="Q6" i="4" l="1"/>
  <c r="K6" i="4"/>
  <c r="H6" i="4"/>
  <c r="T9" i="4" s="1"/>
  <c r="E6" i="4"/>
  <c r="T8" i="4" s="1"/>
  <c r="T10" i="4"/>
  <c r="E26" i="4"/>
  <c r="T28" i="4" s="1"/>
  <c r="N40" i="4"/>
  <c r="N41" i="4" s="1"/>
  <c r="N26" i="4" s="1"/>
  <c r="T31" i="4" s="1"/>
  <c r="H26" i="4"/>
  <c r="T29" i="4" s="1"/>
  <c r="K26" i="4"/>
  <c r="T30" i="4" s="1"/>
  <c r="N20" i="4"/>
  <c r="N21" i="4" s="1"/>
  <c r="N22" i="4" s="1"/>
  <c r="T12" i="4"/>
  <c r="Q26" i="4"/>
  <c r="T32" i="4" s="1"/>
  <c r="Z5" i="3"/>
  <c r="G5" i="3"/>
  <c r="H5" i="3" s="1"/>
  <c r="I5" i="3" s="1"/>
  <c r="J5" i="3" s="1"/>
  <c r="K5" i="3" s="1"/>
  <c r="L5" i="3" s="1"/>
  <c r="M5" i="3" s="1"/>
  <c r="N5" i="3" s="1"/>
  <c r="O5" i="3" s="1"/>
  <c r="P5" i="3" s="1"/>
  <c r="Q5" i="3" s="1"/>
  <c r="R5" i="3" s="1"/>
  <c r="S5" i="3" s="1"/>
  <c r="T5" i="3" s="1"/>
  <c r="U5" i="3" s="1"/>
  <c r="V5" i="3" s="1"/>
  <c r="N6" i="4" l="1"/>
  <c r="T11"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F14" authorId="0" shapeId="0" xr:uid="{BB0F8E5F-F557-4B8B-9F1A-3712FA7F5223}">
      <text>
        <r>
          <rPr>
            <b/>
            <sz val="9"/>
            <color indexed="81"/>
            <rFont val="Segoe UI"/>
            <family val="2"/>
          </rPr>
          <t>PC:</t>
        </r>
        <r>
          <rPr>
            <sz val="9"/>
            <color indexed="81"/>
            <rFont val="Segoe UI"/>
            <family val="2"/>
          </rPr>
          <t xml:space="preserve">
geplante Förderung ab 1.1.2024, inklusive Geschwindigkeitsbonus, ohne Bonus für Einkommen unter 40.000 EUR</t>
        </r>
      </text>
    </comment>
    <comment ref="E15" authorId="0" shapeId="0" xr:uid="{EF7B4BDE-3AEC-4B05-AB6E-F4BD052E0D7F}">
      <text>
        <r>
          <rPr>
            <b/>
            <sz val="9"/>
            <color indexed="81"/>
            <rFont val="Segoe UI"/>
            <family val="2"/>
          </rPr>
          <t>PC:</t>
        </r>
        <r>
          <rPr>
            <sz val="9"/>
            <color indexed="81"/>
            <rFont val="Segoe UI"/>
            <family val="2"/>
          </rPr>
          <t xml:space="preserve">
EUR 17120 abzgl. 10% Frühbucherbonus plus EUR 3.000 für Anpassungen an die Übergabestation, (neuer Warmwasserspeicher, Verrohrung) siehe auch Preisblatt 1.5.1</t>
        </r>
      </text>
    </comment>
    <comment ref="G15" authorId="0" shapeId="0" xr:uid="{6AEEA78B-37D5-4270-8745-94AE2FE284A2}">
      <text>
        <r>
          <rPr>
            <b/>
            <sz val="9"/>
            <color indexed="81"/>
            <rFont val="Segoe UI"/>
            <family val="2"/>
          </rPr>
          <t>PC:</t>
        </r>
        <r>
          <rPr>
            <sz val="9"/>
            <color indexed="81"/>
            <rFont val="Segoe UI"/>
            <family val="2"/>
          </rPr>
          <t xml:space="preserve">
abzüglich Förderung Gräfelfing EUR 2500</t>
        </r>
      </text>
    </comment>
    <comment ref="F24" authorId="0" shapeId="0" xr:uid="{2A77338F-CC15-42AB-8648-A87D52E50694}">
      <text>
        <r>
          <rPr>
            <b/>
            <sz val="9"/>
            <color indexed="81"/>
            <rFont val="Segoe UI"/>
            <family val="2"/>
          </rPr>
          <t>PC:</t>
        </r>
        <r>
          <rPr>
            <sz val="9"/>
            <color indexed="81"/>
            <rFont val="Segoe UI"/>
            <family val="2"/>
          </rPr>
          <t xml:space="preserve">
geplante Förderung ab 1.1.2024, inklusive Geschwindigkeitsbonus, ohne Bonus für Einkommen unter 40.000 EUR</t>
        </r>
      </text>
    </comment>
    <comment ref="E25" authorId="0" shapeId="0" xr:uid="{AEA1AF1B-78F4-4C21-8A1D-410C290526BB}">
      <text>
        <r>
          <rPr>
            <b/>
            <sz val="9"/>
            <color indexed="81"/>
            <rFont val="Segoe UI"/>
            <family val="2"/>
          </rPr>
          <t>PC:</t>
        </r>
        <r>
          <rPr>
            <sz val="9"/>
            <color indexed="81"/>
            <rFont val="Segoe UI"/>
            <family val="2"/>
          </rPr>
          <t xml:space="preserve">
EUR 17120 abzgl. 10% Frühbucherbonus plus EUR 3.000 für Anpassungen an die Übergabestation, (neuer Warmwasserspeicher, Verrohrung) siehe auch Preisblatt 1.5.1</t>
        </r>
      </text>
    </comment>
    <comment ref="G25" authorId="0" shapeId="0" xr:uid="{9A09CD9B-553D-4158-B14A-B7EB5DD8D05B}">
      <text>
        <r>
          <rPr>
            <b/>
            <sz val="9"/>
            <color indexed="81"/>
            <rFont val="Segoe UI"/>
            <family val="2"/>
          </rPr>
          <t>PC:</t>
        </r>
        <r>
          <rPr>
            <sz val="9"/>
            <color indexed="81"/>
            <rFont val="Segoe UI"/>
            <family val="2"/>
          </rPr>
          <t xml:space="preserve">
abzüglich Förderung Gräfelfing EUR 2500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F14" authorId="0" shapeId="0" xr:uid="{DDA70886-2EBC-461F-B795-6A3D4CDEB2B0}">
      <text>
        <r>
          <rPr>
            <b/>
            <sz val="9"/>
            <color indexed="81"/>
            <rFont val="Segoe UI"/>
            <family val="2"/>
          </rPr>
          <t>PC:</t>
        </r>
        <r>
          <rPr>
            <sz val="9"/>
            <color indexed="81"/>
            <rFont val="Segoe UI"/>
            <family val="2"/>
          </rPr>
          <t xml:space="preserve">
geplante Förderung ab 1.1.2024, inklusive Geschwindigkeitsbonus, ohne Bonus für Einkommen unter 40.000 EUR</t>
        </r>
      </text>
    </comment>
    <comment ref="E15" authorId="0" shapeId="0" xr:uid="{53C3C0C3-917F-48FD-BD7F-AF5655EB7A70}">
      <text>
        <r>
          <rPr>
            <b/>
            <sz val="9"/>
            <color indexed="81"/>
            <rFont val="Segoe UI"/>
            <family val="2"/>
          </rPr>
          <t>PC:</t>
        </r>
        <r>
          <rPr>
            <sz val="9"/>
            <color indexed="81"/>
            <rFont val="Segoe UI"/>
            <family val="2"/>
          </rPr>
          <t xml:space="preserve">
EUR 17120 abzgl. 10% Frühbucherbonus plus EUR 3.000 für Anpassungen an die Übergabestation, (neuer Warmwasserspeicher, Verrohrung) siehe auch Preisblatt 1.5.1</t>
        </r>
      </text>
    </comment>
    <comment ref="G15" authorId="0" shapeId="0" xr:uid="{F4C236EE-3EF8-4DF5-88D5-FF86BA32939B}">
      <text>
        <r>
          <rPr>
            <b/>
            <sz val="9"/>
            <color indexed="81"/>
            <rFont val="Segoe UI"/>
            <family val="2"/>
          </rPr>
          <t>PC:</t>
        </r>
        <r>
          <rPr>
            <sz val="9"/>
            <color indexed="81"/>
            <rFont val="Segoe UI"/>
            <family val="2"/>
          </rPr>
          <t xml:space="preserve">
abzüglich Förferung Gräfelfing EUR 2500</t>
        </r>
      </text>
    </comment>
    <comment ref="F24" authorId="0" shapeId="0" xr:uid="{ADC27A04-8679-4D8D-8A15-FD4B47FEA25A}">
      <text>
        <r>
          <rPr>
            <b/>
            <sz val="9"/>
            <color indexed="81"/>
            <rFont val="Segoe UI"/>
            <family val="2"/>
          </rPr>
          <t>PC:</t>
        </r>
        <r>
          <rPr>
            <sz val="9"/>
            <color indexed="81"/>
            <rFont val="Segoe UI"/>
            <family val="2"/>
          </rPr>
          <t xml:space="preserve">
geplante Förderung ab 1.1.2024, inklusive Geschwindigkeitsbonus, ohne Bonus für Einkommen unter 40.000 EUR</t>
        </r>
      </text>
    </comment>
    <comment ref="E25" authorId="0" shapeId="0" xr:uid="{950D67C1-4484-46EF-9026-4AC3C7BDF99F}">
      <text>
        <r>
          <rPr>
            <b/>
            <sz val="9"/>
            <color indexed="81"/>
            <rFont val="Segoe UI"/>
            <family val="2"/>
          </rPr>
          <t>PC:</t>
        </r>
        <r>
          <rPr>
            <sz val="9"/>
            <color indexed="81"/>
            <rFont val="Segoe UI"/>
            <family val="2"/>
          </rPr>
          <t xml:space="preserve">
EUR 17120 abzgl. 10% Frühbucherbonus plus EUR 3.000 für Anpassungen an die Übergabestation, (neuer Warmwasserspeicher, Verrohrung) siehe auch Preisblatt 1.5.1</t>
        </r>
      </text>
    </comment>
    <comment ref="G25" authorId="0" shapeId="0" xr:uid="{47AC9B98-1A46-4634-8EF9-7FA05E38F8A9}">
      <text>
        <r>
          <rPr>
            <b/>
            <sz val="9"/>
            <color indexed="81"/>
            <rFont val="Segoe UI"/>
            <family val="2"/>
          </rPr>
          <t>PC:</t>
        </r>
        <r>
          <rPr>
            <sz val="9"/>
            <color indexed="81"/>
            <rFont val="Segoe UI"/>
            <family val="2"/>
          </rPr>
          <t xml:space="preserve">
abzüglich Förferung Gräfelfing EUR 2500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J9" authorId="0" shapeId="0" xr:uid="{87B67C74-5B9F-44CB-8173-65F93D7D4071}">
      <text>
        <r>
          <rPr>
            <b/>
            <sz val="9"/>
            <color indexed="81"/>
            <rFont val="Segoe UI"/>
            <family val="2"/>
          </rPr>
          <t>PC:</t>
        </r>
        <r>
          <rPr>
            <sz val="9"/>
            <color indexed="81"/>
            <rFont val="Segoe UI"/>
            <family val="2"/>
          </rPr>
          <t xml:space="preserve">
geplante Förderung ab 1.1.2024, inklusive Geschwindigkeitsbonus, ohne Bonus für Einkommen unter 40.000 EUR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G13" authorId="0" shapeId="0" xr:uid="{7F851685-8B8B-4459-959C-8F0157500141}">
      <text>
        <r>
          <rPr>
            <b/>
            <sz val="9"/>
            <color indexed="81"/>
            <rFont val="Segoe UI"/>
            <family val="2"/>
          </rPr>
          <t>PC:</t>
        </r>
        <r>
          <rPr>
            <sz val="9"/>
            <color indexed="81"/>
            <rFont val="Segoe UI"/>
            <family val="2"/>
          </rPr>
          <t xml:space="preserve">
ohne 10% befristeten Sonderrabatt</t>
        </r>
      </text>
    </comment>
    <comment ref="G33" authorId="0" shapeId="0" xr:uid="{AC6C4648-37E8-453C-83BA-A8F9B0898F98}">
      <text>
        <r>
          <rPr>
            <b/>
            <sz val="9"/>
            <color indexed="81"/>
            <rFont val="Segoe UI"/>
            <family val="2"/>
          </rPr>
          <t>PC:</t>
        </r>
        <r>
          <rPr>
            <sz val="9"/>
            <color indexed="81"/>
            <rFont val="Segoe UI"/>
            <family val="2"/>
          </rPr>
          <t xml:space="preserve">
ohne 10% befristeten Sonderrabatt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E18" authorId="0" shapeId="0" xr:uid="{060DF017-02BF-4972-BB96-E0654EBC5AA2}">
      <text>
        <r>
          <rPr>
            <b/>
            <sz val="9"/>
            <color indexed="81"/>
            <rFont val="Segoe UI"/>
            <family val="2"/>
          </rPr>
          <t>PC:</t>
        </r>
        <r>
          <rPr>
            <sz val="9"/>
            <color indexed="81"/>
            <rFont val="Segoe UI"/>
            <family val="2"/>
          </rPr>
          <t xml:space="preserve">
Annahme, kann man ändern</t>
        </r>
      </text>
    </comment>
    <comment ref="E19" authorId="0" shapeId="0" xr:uid="{A8A3154A-77A1-42CA-B6B7-13B801AA549A}">
      <text>
        <r>
          <rPr>
            <b/>
            <sz val="9"/>
            <color indexed="81"/>
            <rFont val="Segoe UI"/>
            <family val="2"/>
          </rPr>
          <t>PC:</t>
        </r>
        <r>
          <rPr>
            <sz val="9"/>
            <color indexed="81"/>
            <rFont val="Segoe UI"/>
            <family val="2"/>
          </rPr>
          <t xml:space="preserve">
Annahme, kann man ändern</t>
        </r>
      </text>
    </comment>
  </commentList>
</comments>
</file>

<file path=xl/sharedStrings.xml><?xml version="1.0" encoding="utf-8"?>
<sst xmlns="http://schemas.openxmlformats.org/spreadsheetml/2006/main" count="378" uniqueCount="189">
  <si>
    <t>Wartungskosten pro Jahr:</t>
  </si>
  <si>
    <t>Ölheizung</t>
  </si>
  <si>
    <t>7,88 Cent</t>
  </si>
  <si>
    <t>120 - 250 €</t>
  </si>
  <si>
    <t>8.750 - 11.250 €</t>
  </si>
  <si>
    <t>Gasheizung</t>
  </si>
  <si>
    <t>9,463 Cent</t>
  </si>
  <si>
    <t>100 - 200 €</t>
  </si>
  <si>
    <t>7.500 - 12.500 €</t>
  </si>
  <si>
    <t>Pelletheizung</t>
  </si>
  <si>
    <t>5,58 Cent</t>
  </si>
  <si>
    <t>300 €</t>
  </si>
  <si>
    <t>21.000 - 31.000 €</t>
  </si>
  <si>
    <t>Hackschnitzelheizung</t>
  </si>
  <si>
    <t>2,9 Cent</t>
  </si>
  <si>
    <t>27.500 - 35.000 €</t>
  </si>
  <si>
    <t>Scheitholzvergaser</t>
  </si>
  <si>
    <t>3,26 Cent</t>
  </si>
  <si>
    <t>12.500 - 20.000 €</t>
  </si>
  <si>
    <t>Wärmepumpe</t>
  </si>
  <si>
    <t>27,52 Cent*</t>
  </si>
  <si>
    <t>100 €</t>
  </si>
  <si>
    <t>18.750 - 37.500 €</t>
  </si>
  <si>
    <t>Elektroheizung</t>
  </si>
  <si>
    <t>35,48 Cent**</t>
  </si>
  <si>
    <t>0 €</t>
  </si>
  <si>
    <r>
      <t>6.250 - 10.000 €***</t>
    </r>
    <r>
      <rPr>
        <sz val="11"/>
        <color rgb="FF374151"/>
        <rFont val="Open Sans"/>
        <family val="2"/>
      </rPr>
      <t>***</t>
    </r>
  </si>
  <si>
    <t>Infrarotheizung</t>
  </si>
  <si>
    <t>Fernwärme</t>
  </si>
  <si>
    <t>Grundpreis: 50 - 90 € / kW Leistung (bei 20 kW Anschlussleistung); Arbeitspreis: 6 - 11 Cent / kWh</t>
  </si>
  <si>
    <t>Blockheizkraftwerk</t>
  </si>
  <si>
    <t>2,98 - 5,58 (Holz) / 9,46 (Gas) / 7,88 (Öl) Cent</t>
  </si>
  <si>
    <t>300 - 1.000 €</t>
  </si>
  <si>
    <t>25.000 - 50.000 €</t>
  </si>
  <si>
    <t>Brennstoffzelle</t>
  </si>
  <si>
    <t>9,46 Cent</t>
  </si>
  <si>
    <t>31.000 - 70.000 €</t>
  </si>
  <si>
    <t>Solarthermie-Anlage</t>
  </si>
  <si>
    <t>0 Cent</t>
  </si>
  <si>
    <t>20 - 50 €</t>
  </si>
  <si>
    <t>5.600 - 13.750 €</t>
  </si>
  <si>
    <t>Standard-Zuschuss</t>
  </si>
  <si>
    <t>Boni</t>
  </si>
  <si>
    <t>Heizungsart</t>
  </si>
  <si>
    <r>
      <t>iSFP </t>
    </r>
    <r>
      <rPr>
        <b/>
        <sz val="7"/>
        <color rgb="FF343434"/>
        <rFont val="Calibri Light"/>
        <family val="2"/>
        <scheme val="major"/>
      </rPr>
      <t>3)</t>
    </r>
  </si>
  <si>
    <r>
      <t>Heizungs-Tausch</t>
    </r>
    <r>
      <rPr>
        <b/>
        <sz val="7"/>
        <color rgb="FF343434"/>
        <rFont val="Calibri Light"/>
        <family val="2"/>
        <scheme val="major"/>
      </rPr>
      <t> 4)</t>
    </r>
  </si>
  <si>
    <r>
      <t>Wärme­pumpen-Bonus </t>
    </r>
    <r>
      <rPr>
        <b/>
        <sz val="7"/>
        <color rgb="FF343434"/>
        <rFont val="Calibri Light"/>
        <family val="2"/>
        <scheme val="major"/>
      </rPr>
      <t>5)</t>
    </r>
  </si>
  <si>
    <r>
      <t>Saubere Biomasse </t>
    </r>
    <r>
      <rPr>
        <b/>
        <sz val="7"/>
        <color rgb="FF343434"/>
        <rFont val="Calibri Light"/>
        <family val="2"/>
        <scheme val="major"/>
      </rPr>
      <t>6)</t>
    </r>
  </si>
  <si>
    <t>3) iSFP-Bonus: Bei Umsetzung einer Sanierungsmaßnahme als Teil eines in der „Bundesförderung für Energieberatung für Wohngebäude“ (EBW) geförderten individuellen Sanierungsfahrplans (iSFP) erhöht sich der Fördersatz zusätzlich um 5 Prozentpunkte. Die Maßnahme wird bei der Förderung von Heizungen nicht mehr gewährt. Die Maßnahme muss hierfür jedoch innerhalb eines Zeitraums von maximal 15 Jahren nach Erstellung des iSFP umgesetzt werden.</t>
  </si>
  <si>
    <t>4) Heizungs-Tausch-Bonus: Für den Austausch von funktionstüchtigen Öl-, Kohle- und Nachtspeicherheizungen wird ein Bonus von 10 Prozentpunkten gewährt. Für den Austausch von funktionstüchtigen Gasheizungen wird ein Bonus von 10 Prozentpunkten gewährt, wenn deren Inbetriebnahme zum Zeitpunkt der Antragsstellung mindestens 20 Jahre zurückliegt. Für Gasetagenheizungen wird der Bonus unabhängig vom Zeitpunkt der Inbetriebnahme gewährt. Nach dem Austausch darf das Gebäude nicht mehr mit fossilen Brennstoffen im Gebäude oder gebäudenah beheizt werden.</t>
  </si>
  <si>
    <t>5) Wärmepumpen-Bonus: Für Wärmepumpen wird zusätzlich ein Bonus von 5 Prozentpunkten gewährt, wenn als Wärmequelle Wasser, Erdreich oder Abwasser erschlossen wird.</t>
  </si>
  <si>
    <t>6) Bonus für saubere Biomasse (auch Innovationsbonus): Bei Einhaltung eines Emissionsgrenzwertes für Feinstaub von max. 2,5 mg/m3 ist ein zusätzlicher Förderbonus von 5 Prozent möglich.</t>
  </si>
  <si>
    <t>Anschaffungspreis mit Einbau
(Quelle: Energieheld)</t>
  </si>
  <si>
    <t>Öl</t>
  </si>
  <si>
    <t>Gas</t>
  </si>
  <si>
    <t>Strom</t>
  </si>
  <si>
    <t>konstant, da ausreichend verfügbar</t>
  </si>
  <si>
    <t>Preise in EURcent/kWh  Heizleistung</t>
  </si>
  <si>
    <t>HeizOel24</t>
  </si>
  <si>
    <t>Pellets</t>
  </si>
  <si>
    <t>ÖkoFEN</t>
  </si>
  <si>
    <t>Quelle</t>
  </si>
  <si>
    <t>Uni Köln</t>
  </si>
  <si>
    <t>EUR</t>
  </si>
  <si>
    <t>EUR/a</t>
  </si>
  <si>
    <t>kWh/a</t>
  </si>
  <si>
    <t>EURcent/kWh</t>
  </si>
  <si>
    <t>Anschaffungskosten</t>
  </si>
  <si>
    <t>CO2-Ausstoß</t>
  </si>
  <si>
    <t>Wärmepumpe L/W mit JAZ=3</t>
  </si>
  <si>
    <t>Wärmepumpe L/W mit JAZ=2,5</t>
  </si>
  <si>
    <t>kg CO2-Äquival pro Jahr</t>
  </si>
  <si>
    <t>Heizkosten (EUR p.a.)</t>
  </si>
  <si>
    <t>CO2-Emission (kg CO2-Äquival p.a.)</t>
  </si>
  <si>
    <t>Gräfelfing</t>
  </si>
  <si>
    <t xml:space="preserve">Grünwald </t>
  </si>
  <si>
    <t>Unterhaching Mini</t>
  </si>
  <si>
    <t>Unsaniert</t>
  </si>
  <si>
    <t>Mindestabnahme</t>
  </si>
  <si>
    <t>MWh/a</t>
  </si>
  <si>
    <t>Maxabnahme</t>
  </si>
  <si>
    <t>Unterhaching normal</t>
  </si>
  <si>
    <t>Wärmebedarf (MWh/a)</t>
  </si>
  <si>
    <t>Anschlussleistung (kW)</t>
  </si>
  <si>
    <t>Grundpreis (inkl. MwSt)</t>
  </si>
  <si>
    <t>EUR/kW Anschlussleistung pro Monat</t>
  </si>
  <si>
    <t>EUR/kW pro Jahr</t>
  </si>
  <si>
    <t>EUR/kW pro Monat</t>
  </si>
  <si>
    <t>EUR pro Monat</t>
  </si>
  <si>
    <t>Heizkosten pro Jahr</t>
  </si>
  <si>
    <t>A</t>
  </si>
  <si>
    <t>B</t>
  </si>
  <si>
    <t>Messpreis</t>
  </si>
  <si>
    <t>n.a.</t>
  </si>
  <si>
    <t>EUR/Monat</t>
  </si>
  <si>
    <t>Jahrespauschale pro Zähler</t>
  </si>
  <si>
    <t>C</t>
  </si>
  <si>
    <t>Arbeitspreis</t>
  </si>
  <si>
    <t>EUR/kWh</t>
  </si>
  <si>
    <t>D</t>
  </si>
  <si>
    <t>Anschlusspreis</t>
  </si>
  <si>
    <t>Anschlusspreis nach Förderung</t>
  </si>
  <si>
    <t>Förderung KfW</t>
  </si>
  <si>
    <t>Förderung Gemeinde</t>
  </si>
  <si>
    <t>Abschreibung p.a. ( auf Jahre)</t>
  </si>
  <si>
    <t>Saniert</t>
  </si>
  <si>
    <t>E</t>
  </si>
  <si>
    <t>CO2-Preis</t>
  </si>
  <si>
    <t>Solarthermie ist nicht eigens enthalten, da sie nur in Verbindung mit einem großen Saisonspeicher (ca. 13.000 l, zur Reduzierung der Verluste möglichst im Haus eingebaut) oder kombiniert mit anderen Systemen für die ganzjährige Wohnraumheizung eingesetzt werden kann. Fast 50% des Wärmebedarfs entfällt auf die Monate November bis März, aber nur 6% der Sonneneinstrahlung. Darüber hinaus steht sie flächenmäßig in Konkurrenz zu PV-Anlagen, deren Strom weitaus vielseitiger eingesetzt werden kann. Im Bestandsbau dürfte sie nur als hybride Beimischung in kleinem Umfang attraktiv bleiben.</t>
  </si>
  <si>
    <t>Wartung und Schornstein pro Jahr</t>
  </si>
  <si>
    <t>EUR pro Jahr</t>
  </si>
  <si>
    <t>Baukostenzuschuss +Hausanschlusskosten</t>
  </si>
  <si>
    <t>Ausgangsdaten Quelle Energieheld</t>
  </si>
  <si>
    <t>Wartungs-kosten pro Jahr</t>
  </si>
  <si>
    <t>Heizkosten pro kWh (Drei-jahresmittel)</t>
  </si>
  <si>
    <t>Anschaffung nach BAFA-Förderung</t>
  </si>
  <si>
    <t>Jahre</t>
  </si>
  <si>
    <t>Wärme-bedarf (kWh/a)</t>
  </si>
  <si>
    <t>Preis pro Energie-einheit</t>
  </si>
  <si>
    <t>Preis pro Jahr inkl. Grund-gebühr</t>
  </si>
  <si>
    <t>EUR/t</t>
  </si>
  <si>
    <t>kg CO2/kWh</t>
  </si>
  <si>
    <t>CO2-Steueranteil Gas</t>
  </si>
  <si>
    <t>CO2-Steueranteil Öl</t>
  </si>
  <si>
    <t>Änderung gegen 2023</t>
  </si>
  <si>
    <t>errechnet aus Gas plus Delta CO2-Steuer</t>
  </si>
  <si>
    <t>Pelletheizung DEPV ohne Holzbrand</t>
  </si>
  <si>
    <t>Pelletheizung WWF mit Holzbrand</t>
  </si>
  <si>
    <t>Pelletheizung  mit Ansatz Holzbrand (WWF)</t>
  </si>
  <si>
    <t>Pelletheizung ohne Ansatz Holzbrand (DEPV)</t>
  </si>
  <si>
    <t>Öl-Brennwertheizung</t>
  </si>
  <si>
    <t>Gas-Brennwertheizung</t>
  </si>
  <si>
    <t>Preise 2023</t>
  </si>
  <si>
    <t>Preise 2042</t>
  </si>
  <si>
    <t>%</t>
  </si>
  <si>
    <t>NB:</t>
  </si>
  <si>
    <t>ZfK (BM für Wirtschaft)</t>
  </si>
  <si>
    <t>Preisblatt Geothermie Gräfelfing</t>
  </si>
  <si>
    <t>Annahme Steigerung Lohnkostenindex p.a.</t>
  </si>
  <si>
    <t>Annahme Steigerung Investitionsgüterindex</t>
  </si>
  <si>
    <t>Fernwärme Gräfelfing Arbeitspreis</t>
  </si>
  <si>
    <t>Fernwärme Gräfelfing Grundpreis (EUR/kW)</t>
  </si>
  <si>
    <t>Delta CO2-Steuer zwischen Gas und Öl</t>
  </si>
  <si>
    <t>Preisentwicklung</t>
  </si>
  <si>
    <t>Prognose</t>
  </si>
  <si>
    <t>Arbeitspreis (Indexiert mit 90% vom Strompreis)</t>
  </si>
  <si>
    <t>Grundpreis (indexiert mit 60% Inv-Index und 20% LK-Index)</t>
  </si>
  <si>
    <t>Geplante CO2-Steuer</t>
  </si>
  <si>
    <t xml:space="preserve">Kosten Anschluss Übergabestation an Heizsystem in EUR </t>
  </si>
  <si>
    <t>Abschreibung auf Jahre</t>
  </si>
  <si>
    <t>Frühbucherrabatt</t>
  </si>
  <si>
    <t>Grünwald</t>
  </si>
  <si>
    <t>Unterhaching Normal</t>
  </si>
  <si>
    <t>Pullach</t>
  </si>
  <si>
    <t>EUR/kW p. a.</t>
  </si>
  <si>
    <t>EUR p. a.</t>
  </si>
  <si>
    <t>Kosten p.a.</t>
  </si>
  <si>
    <t>2023 (Cent/ kWh)</t>
  </si>
  <si>
    <t>BEG-Förderung (ohne Heizungstausch-Bonus von 10%)</t>
  </si>
  <si>
    <t>Förderung BEG</t>
  </si>
  <si>
    <t>Anschlusswert</t>
  </si>
  <si>
    <t>kW</t>
  </si>
  <si>
    <t>Wärmebedarf</t>
  </si>
  <si>
    <t>Pullach (VbH = 1800 bis 2000)</t>
  </si>
  <si>
    <t xml:space="preserve">Wärmebedarf </t>
  </si>
  <si>
    <t>MWh p/a</t>
  </si>
  <si>
    <t>Aufbereitung für Grafik</t>
  </si>
  <si>
    <t>Förderung aktuell (Quelle: BM für Wirtschaft und Klimaschutz)</t>
  </si>
  <si>
    <t>Summe unsaniert</t>
  </si>
  <si>
    <t>Summe saniert</t>
  </si>
  <si>
    <t>Kostenvergleich (unsaniert)</t>
  </si>
  <si>
    <t>Kostenvergleich (saniert)</t>
  </si>
  <si>
    <r>
      <t>18.515 €</t>
    </r>
    <r>
      <rPr>
        <sz val="11"/>
        <color rgb="FF374151"/>
        <rFont val="Open Sans"/>
        <family val="2"/>
      </rPr>
      <t> (Anschluss)</t>
    </r>
    <r>
      <rPr>
        <vertAlign val="superscript"/>
        <sz val="11"/>
        <color rgb="FF374151"/>
        <rFont val="Open Sans"/>
        <family val="2"/>
      </rPr>
      <t>7)</t>
    </r>
  </si>
  <si>
    <t>7) Anschlusskosten Gräfelfing lt. Preisblatt EUR 17.120 abzg. 10% Frühbucherrabat plus Anschluss Übergabestation EUR 3.000</t>
  </si>
  <si>
    <t>kg CO2-Äquival/ kWh</t>
  </si>
  <si>
    <t>Max. 
Förder­-
satz</t>
  </si>
  <si>
    <t>Anschaffung ohne BEG-Förderung (Kalkulations-ansatz)</t>
  </si>
  <si>
    <t>Anschaffungspreis mit Einbau</t>
  </si>
  <si>
    <t>Ab-schrei-bungs-dauer</t>
  </si>
  <si>
    <t>jährliche Ab-schrei-bung</t>
  </si>
  <si>
    <t>Energie-effizienz (Quelle Thermondo)</t>
  </si>
  <si>
    <t>jährlicher Verbrauch</t>
  </si>
  <si>
    <t>jährliche Heizkosten incl. Ab-schreibung</t>
  </si>
  <si>
    <t>Kosten und CO2-Emissionen 2023</t>
  </si>
  <si>
    <t>Fernwärme aus Geothermie Gräfelfing*</t>
  </si>
  <si>
    <t>*Kosten von EUR 3000 kalkuliert inkl. Einbau für den Anschluss der Übergabestation an das bestehende Heizsystem inkl. neuem Pufferspeicher</t>
  </si>
  <si>
    <t>Verivox Bestands-kunden</t>
  </si>
  <si>
    <t>Heizkosten pro kWh (Dreijahres-mittel):</t>
  </si>
  <si>
    <t>Aufbereitung für Grafik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</si>
</sst>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0\ &quot;€&quot;;[Red]\-#,##0\ &quot;€&quot;"/>
    <numFmt numFmtId="164" formatCode="0.0"/>
    <numFmt numFmtId="165" formatCode="0.000"/>
    <numFmt numFmtId="166" formatCode="#,##0\ &quot;€&quot;"/>
  </numFmts>
  <fonts count="16" x14ac:knownFonts="1">
    <font>
      <sz val="11"/>
      <color theme="1"/>
      <name val="Calibri"/>
      <family val="2"/>
      <scheme val="minor"/>
    </font>
    <font>
      <b/>
      <sz val="11"/>
      <color rgb="FF374151"/>
      <name val="Open Sans"/>
      <family val="2"/>
    </font>
    <font>
      <sz val="11"/>
      <color rgb="FF374151"/>
      <name val="Open Sans"/>
      <family val="2"/>
    </font>
    <font>
      <u/>
      <sz val="11"/>
      <color theme="10"/>
      <name val="Calibri"/>
      <family val="2"/>
      <scheme val="minor"/>
    </font>
    <font>
      <b/>
      <sz val="11"/>
      <color rgb="FF374151"/>
      <name val="Calibri Light"/>
      <family val="2"/>
      <scheme val="major"/>
    </font>
    <font>
      <b/>
      <sz val="9.9"/>
      <color rgb="FF343434"/>
      <name val="Calibri Light"/>
      <family val="2"/>
      <scheme val="major"/>
    </font>
    <font>
      <b/>
      <sz val="11"/>
      <color theme="1"/>
      <name val="Calibri Light"/>
      <family val="2"/>
      <scheme val="major"/>
    </font>
    <font>
      <b/>
      <sz val="7"/>
      <color rgb="FF343434"/>
      <name val="Calibri Light"/>
      <family val="2"/>
      <scheme val="major"/>
    </font>
    <font>
      <sz val="10"/>
      <color rgb="FF212121"/>
      <name val="Arial"/>
      <family val="2"/>
    </font>
    <font>
      <sz val="10"/>
      <color theme="1"/>
      <name val="Calibri"/>
      <family val="2"/>
      <scheme val="minor"/>
    </font>
    <font>
      <vertAlign val="superscript"/>
      <sz val="11"/>
      <color rgb="FF374151"/>
      <name val="Open Sans"/>
      <family val="2"/>
    </font>
    <font>
      <sz val="18"/>
      <color theme="1"/>
      <name val="Calibri"/>
      <family val="2"/>
      <scheme val="minor"/>
    </font>
    <font>
      <sz val="9"/>
      <color indexed="81"/>
      <name val="Segoe UI"/>
      <family val="2"/>
    </font>
    <font>
      <b/>
      <sz val="9"/>
      <color indexed="81"/>
      <name val="Segoe UI"/>
      <family val="2"/>
    </font>
    <font>
      <b/>
      <sz val="11"/>
      <color theme="1"/>
      <name val="Calibri"/>
      <family val="2"/>
      <scheme val="minor"/>
    </font>
    <font>
      <sz val="11"/>
      <color theme="0" tint="-0.34998626667073579"/>
      <name val="Calibri"/>
      <family val="2"/>
      <scheme val="minor"/>
    </font>
  </fonts>
  <fills count="11">
    <fill>
      <patternFill patternType="none"/>
    </fill>
    <fill>
      <patternFill patternType="gray125"/>
    </fill>
    <fill>
      <patternFill patternType="solid">
        <fgColor rgb="FFFFFFFF"/>
        <bgColor indexed="64"/>
      </patternFill>
    </fill>
    <fill>
      <patternFill patternType="solid">
        <fgColor theme="4"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cellStyleXfs>
  <cellXfs count="134">
    <xf numFmtId="0" fontId="0" fillId="0" borderId="0" xfId="0"/>
    <xf numFmtId="9" fontId="0" fillId="0" borderId="0" xfId="0" applyNumberFormat="1"/>
    <xf numFmtId="9" fontId="0" fillId="0" borderId="1" xfId="0" applyNumberFormat="1" applyBorder="1"/>
    <xf numFmtId="0" fontId="3" fillId="0" borderId="1" xfId="1" applyBorder="1" applyAlignment="1">
      <alignment vertical="center" wrapText="1"/>
    </xf>
    <xf numFmtId="0" fontId="2" fillId="0" borderId="1" xfId="0" applyFont="1" applyBorder="1" applyAlignment="1">
      <alignment horizontal="right" vertical="center" wrapText="1"/>
    </xf>
    <xf numFmtId="0" fontId="1" fillId="0" borderId="1" xfId="0" applyFont="1" applyBorder="1" applyAlignment="1">
      <alignment vertical="center" wrapText="1"/>
    </xf>
    <xf numFmtId="6" fontId="2" fillId="0" borderId="1" xfId="0" applyNumberFormat="1" applyFont="1" applyBorder="1" applyAlignment="1">
      <alignment horizontal="right" vertical="center" wrapText="1"/>
    </xf>
    <xf numFmtId="0" fontId="2" fillId="0" borderId="1" xfId="0" applyFont="1" applyBorder="1" applyAlignment="1">
      <alignment vertical="center" wrapText="1"/>
    </xf>
    <xf numFmtId="6" fontId="2" fillId="0" borderId="1" xfId="0" applyNumberFormat="1" applyFont="1" applyBorder="1" applyAlignment="1">
      <alignment vertical="center" wrapText="1"/>
    </xf>
    <xf numFmtId="0" fontId="9" fillId="0" borderId="0" xfId="0" applyFont="1"/>
    <xf numFmtId="0" fontId="0" fillId="0" borderId="0" xfId="0" applyAlignment="1">
      <alignment vertical="top" wrapText="1"/>
    </xf>
    <xf numFmtId="0" fontId="3" fillId="0" borderId="1" xfId="1" applyBorder="1" applyAlignment="1">
      <alignment vertical="top" wrapText="1"/>
    </xf>
    <xf numFmtId="164" fontId="0" fillId="0" borderId="0" xfId="0" applyNumberFormat="1" applyAlignment="1">
      <alignment vertical="top" wrapText="1"/>
    </xf>
    <xf numFmtId="3" fontId="0" fillId="0" borderId="0" xfId="0" applyNumberFormat="1" applyAlignment="1">
      <alignment vertical="top" wrapText="1"/>
    </xf>
    <xf numFmtId="0" fontId="0" fillId="0" borderId="1" xfId="0" applyBorder="1" applyAlignment="1">
      <alignment vertical="top" wrapText="1"/>
    </xf>
    <xf numFmtId="0" fontId="0" fillId="0" borderId="1" xfId="0" applyBorder="1" applyAlignment="1">
      <alignment horizontal="right" vertical="top" wrapText="1"/>
    </xf>
    <xf numFmtId="0" fontId="3" fillId="0" borderId="1" xfId="1" applyFill="1" applyBorder="1" applyAlignment="1">
      <alignment vertical="top" wrapText="1"/>
    </xf>
    <xf numFmtId="164" fontId="0" fillId="0" borderId="1" xfId="0" applyNumberFormat="1" applyBorder="1" applyAlignment="1">
      <alignment vertical="top" wrapText="1"/>
    </xf>
    <xf numFmtId="3" fontId="0" fillId="0" borderId="1" xfId="0" applyNumberFormat="1" applyBorder="1" applyAlignment="1">
      <alignment vertical="top" wrapText="1"/>
    </xf>
    <xf numFmtId="9" fontId="0" fillId="0" borderId="1" xfId="0" applyNumberFormat="1" applyBorder="1" applyAlignment="1">
      <alignment vertical="top" wrapText="1"/>
    </xf>
    <xf numFmtId="165" fontId="3" fillId="0" borderId="1" xfId="1" applyNumberFormat="1" applyBorder="1" applyAlignment="1">
      <alignment vertical="top" wrapText="1"/>
    </xf>
    <xf numFmtId="0" fontId="3" fillId="0" borderId="0" xfId="1" applyBorder="1" applyAlignment="1">
      <alignment vertical="top" wrapText="1"/>
    </xf>
    <xf numFmtId="3" fontId="0" fillId="4" borderId="1" xfId="0" applyNumberFormat="1" applyFill="1" applyBorder="1" applyAlignment="1">
      <alignment vertical="top" wrapText="1"/>
    </xf>
    <xf numFmtId="0" fontId="0" fillId="0" borderId="1" xfId="0" applyBorder="1"/>
    <xf numFmtId="0" fontId="0" fillId="5" borderId="1" xfId="0" applyFill="1" applyBorder="1" applyAlignment="1">
      <alignment vertical="top" wrapText="1"/>
    </xf>
    <xf numFmtId="0" fontId="0" fillId="5" borderId="1" xfId="0" applyFill="1" applyBorder="1"/>
    <xf numFmtId="0" fontId="0" fillId="0" borderId="5" xfId="0" applyBorder="1"/>
    <xf numFmtId="0" fontId="0" fillId="5" borderId="6" xfId="0" applyFill="1" applyBorder="1" applyAlignment="1">
      <alignment vertical="top" wrapText="1"/>
    </xf>
    <xf numFmtId="0" fontId="0" fillId="5" borderId="6" xfId="0" applyFill="1" applyBorder="1"/>
    <xf numFmtId="0" fontId="0" fillId="0" borderId="6" xfId="0" applyBorder="1"/>
    <xf numFmtId="0" fontId="0" fillId="5" borderId="10" xfId="0" applyFill="1" applyBorder="1"/>
    <xf numFmtId="0" fontId="0" fillId="0" borderId="10" xfId="0" applyBorder="1"/>
    <xf numFmtId="0" fontId="0" fillId="0" borderId="12" xfId="0" applyBorder="1"/>
    <xf numFmtId="0" fontId="0" fillId="0" borderId="13" xfId="0" applyBorder="1"/>
    <xf numFmtId="4" fontId="0" fillId="0" borderId="0" xfId="0" applyNumberFormat="1"/>
    <xf numFmtId="4" fontId="0" fillId="5" borderId="11" xfId="0" applyNumberFormat="1" applyFill="1" applyBorder="1"/>
    <xf numFmtId="4" fontId="0" fillId="0" borderId="11" xfId="0" applyNumberFormat="1" applyBorder="1"/>
    <xf numFmtId="4" fontId="0" fillId="0" borderId="5" xfId="0" applyNumberFormat="1" applyBorder="1"/>
    <xf numFmtId="0" fontId="0" fillId="0" borderId="15" xfId="0" applyBorder="1"/>
    <xf numFmtId="4" fontId="0" fillId="0" borderId="15" xfId="0" applyNumberFormat="1" applyBorder="1"/>
    <xf numFmtId="9" fontId="0" fillId="0" borderId="10" xfId="0" applyNumberFormat="1" applyBorder="1"/>
    <xf numFmtId="0" fontId="3" fillId="5" borderId="1" xfId="1" applyFill="1" applyBorder="1" applyAlignment="1">
      <alignment vertical="top" wrapText="1"/>
    </xf>
    <xf numFmtId="1" fontId="0" fillId="5" borderId="1" xfId="0" applyNumberFormat="1" applyFill="1" applyBorder="1" applyAlignment="1">
      <alignment vertical="top" wrapText="1"/>
    </xf>
    <xf numFmtId="164" fontId="0" fillId="5" borderId="1" xfId="0" applyNumberFormat="1" applyFill="1" applyBorder="1" applyAlignment="1">
      <alignment vertical="top" wrapText="1"/>
    </xf>
    <xf numFmtId="0" fontId="4" fillId="5" borderId="2" xfId="0" applyFont="1" applyFill="1" applyBorder="1" applyAlignment="1">
      <alignment vertical="top" wrapText="1"/>
    </xf>
    <xf numFmtId="0" fontId="0" fillId="6" borderId="1" xfId="0" applyFill="1" applyBorder="1" applyAlignment="1">
      <alignment vertical="top" wrapText="1"/>
    </xf>
    <xf numFmtId="0" fontId="4" fillId="6" borderId="1" xfId="0" applyFont="1" applyFill="1" applyBorder="1" applyAlignment="1">
      <alignment vertical="top" wrapText="1"/>
    </xf>
    <xf numFmtId="0" fontId="2" fillId="0" borderId="0" xfId="0" applyFont="1" applyAlignment="1">
      <alignment vertical="top" wrapText="1"/>
    </xf>
    <xf numFmtId="6" fontId="2" fillId="0" borderId="0" xfId="0" applyNumberFormat="1" applyFont="1" applyAlignment="1">
      <alignment horizontal="right" vertical="top" wrapText="1"/>
    </xf>
    <xf numFmtId="6" fontId="2" fillId="0" borderId="0" xfId="0" applyNumberFormat="1" applyFont="1" applyAlignment="1">
      <alignment vertical="top" wrapText="1"/>
    </xf>
    <xf numFmtId="9" fontId="0" fillId="0" borderId="0" xfId="0" applyNumberFormat="1" applyAlignment="1">
      <alignment vertical="top" wrapText="1"/>
    </xf>
    <xf numFmtId="0" fontId="0" fillId="7" borderId="0" xfId="0" applyFill="1" applyAlignment="1">
      <alignment vertical="top" wrapText="1"/>
    </xf>
    <xf numFmtId="0" fontId="3" fillId="0" borderId="0" xfId="1" applyFill="1" applyBorder="1" applyAlignment="1">
      <alignment vertical="top" wrapText="1"/>
    </xf>
    <xf numFmtId="165" fontId="3" fillId="0" borderId="0" xfId="1" applyNumberFormat="1" applyFill="1" applyBorder="1" applyAlignment="1">
      <alignment vertical="top" wrapText="1"/>
    </xf>
    <xf numFmtId="1" fontId="0" fillId="0" borderId="0" xfId="0" applyNumberFormat="1" applyAlignment="1">
      <alignment vertical="top" wrapText="1"/>
    </xf>
    <xf numFmtId="3" fontId="0" fillId="0" borderId="1" xfId="0" applyNumberFormat="1" applyBorder="1" applyAlignment="1">
      <alignment horizontal="left" vertical="top" wrapText="1" indent="1"/>
    </xf>
    <xf numFmtId="166" fontId="0" fillId="0" borderId="1" xfId="0" applyNumberFormat="1" applyBorder="1" applyAlignment="1">
      <alignment horizontal="left" vertical="top" wrapText="1" indent="1"/>
    </xf>
    <xf numFmtId="164" fontId="0" fillId="4" borderId="1" xfId="0" applyNumberFormat="1" applyFill="1" applyBorder="1"/>
    <xf numFmtId="0" fontId="0" fillId="4" borderId="1" xfId="0" applyFill="1" applyBorder="1"/>
    <xf numFmtId="164" fontId="0" fillId="0" borderId="1" xfId="0" applyNumberFormat="1" applyBorder="1"/>
    <xf numFmtId="165" fontId="0" fillId="0" borderId="1" xfId="0" applyNumberFormat="1" applyBorder="1"/>
    <xf numFmtId="1" fontId="3" fillId="5" borderId="1" xfId="1" applyNumberFormat="1" applyFill="1" applyBorder="1" applyAlignment="1">
      <alignment vertical="top" wrapText="1"/>
    </xf>
    <xf numFmtId="1" fontId="0" fillId="0" borderId="1" xfId="0" applyNumberFormat="1" applyBorder="1" applyAlignment="1">
      <alignment vertical="top" wrapText="1"/>
    </xf>
    <xf numFmtId="0" fontId="0" fillId="0" borderId="18" xfId="0" applyBorder="1" applyAlignment="1">
      <alignment horizontal="center" vertical="top" wrapText="1"/>
    </xf>
    <xf numFmtId="0" fontId="0" fillId="0" borderId="18" xfId="0" applyBorder="1" applyAlignment="1">
      <alignment vertical="top" wrapText="1"/>
    </xf>
    <xf numFmtId="0" fontId="3" fillId="0" borderId="1" xfId="1" applyBorder="1"/>
    <xf numFmtId="165" fontId="0" fillId="0" borderId="0" xfId="0" applyNumberFormat="1"/>
    <xf numFmtId="0" fontId="0" fillId="0" borderId="5" xfId="0" applyBorder="1" applyAlignment="1">
      <alignment vertical="top" wrapText="1"/>
    </xf>
    <xf numFmtId="9" fontId="0" fillId="0" borderId="19" xfId="0" applyNumberFormat="1" applyBorder="1"/>
    <xf numFmtId="9" fontId="0" fillId="0" borderId="5" xfId="0" applyNumberFormat="1" applyBorder="1"/>
    <xf numFmtId="165" fontId="0" fillId="0" borderId="1" xfId="0" applyNumberFormat="1" applyBorder="1" applyAlignment="1">
      <alignment vertical="top" wrapText="1"/>
    </xf>
    <xf numFmtId="3" fontId="0" fillId="0" borderId="0" xfId="0" applyNumberFormat="1"/>
    <xf numFmtId="3" fontId="0" fillId="0" borderId="12" xfId="0" applyNumberFormat="1" applyBorder="1"/>
    <xf numFmtId="3" fontId="0" fillId="5" borderId="11" xfId="0" applyNumberFormat="1" applyFill="1" applyBorder="1"/>
    <xf numFmtId="3" fontId="0" fillId="0" borderId="11" xfId="0" applyNumberFormat="1" applyBorder="1"/>
    <xf numFmtId="3" fontId="0" fillId="0" borderId="5" xfId="0" applyNumberFormat="1" applyBorder="1"/>
    <xf numFmtId="3" fontId="0" fillId="0" borderId="15" xfId="0" applyNumberFormat="1" applyBorder="1"/>
    <xf numFmtId="3" fontId="0" fillId="0" borderId="14" xfId="0" applyNumberFormat="1" applyBorder="1"/>
    <xf numFmtId="0" fontId="0" fillId="7" borderId="0" xfId="0" applyFill="1" applyAlignment="1">
      <alignment horizontal="center" vertical="top" wrapText="1"/>
    </xf>
    <xf numFmtId="6" fontId="2" fillId="7" borderId="0" xfId="0" applyNumberFormat="1" applyFont="1" applyFill="1" applyAlignment="1">
      <alignment vertical="top" wrapText="1"/>
    </xf>
    <xf numFmtId="0" fontId="0" fillId="7" borderId="0" xfId="0" applyFill="1" applyAlignment="1">
      <alignment horizontal="right" vertical="top" wrapText="1"/>
    </xf>
    <xf numFmtId="0" fontId="14" fillId="7" borderId="0" xfId="0" applyFont="1" applyFill="1" applyAlignment="1">
      <alignment vertical="top" wrapText="1"/>
    </xf>
    <xf numFmtId="6" fontId="1" fillId="7" borderId="0" xfId="0" applyNumberFormat="1" applyFont="1" applyFill="1" applyAlignment="1">
      <alignment vertical="top" wrapText="1"/>
    </xf>
    <xf numFmtId="6" fontId="2" fillId="7" borderId="0" xfId="0" applyNumberFormat="1" applyFont="1" applyFill="1" applyAlignment="1">
      <alignment horizontal="right" vertical="top" wrapText="1"/>
    </xf>
    <xf numFmtId="0" fontId="0" fillId="7" borderId="0" xfId="0" applyFill="1" applyAlignment="1">
      <alignment horizontal="left" vertical="top" wrapText="1"/>
    </xf>
    <xf numFmtId="0" fontId="0" fillId="4" borderId="1" xfId="0" applyFill="1" applyBorder="1" applyAlignment="1">
      <alignment vertical="top" wrapText="1"/>
    </xf>
    <xf numFmtId="0" fontId="0" fillId="9" borderId="0" xfId="0" applyFill="1" applyAlignment="1">
      <alignment vertical="top" wrapText="1"/>
    </xf>
    <xf numFmtId="0" fontId="0" fillId="5" borderId="0" xfId="0" applyFill="1"/>
    <xf numFmtId="0" fontId="14" fillId="5" borderId="0" xfId="0" applyFont="1" applyFill="1"/>
    <xf numFmtId="3" fontId="0" fillId="5" borderId="0" xfId="0" applyNumberFormat="1" applyFill="1"/>
    <xf numFmtId="4" fontId="0" fillId="5" borderId="0" xfId="0" applyNumberFormat="1" applyFill="1"/>
    <xf numFmtId="0" fontId="0" fillId="10" borderId="0" xfId="0" applyFill="1"/>
    <xf numFmtId="3" fontId="0" fillId="10" borderId="0" xfId="0" applyNumberFormat="1" applyFill="1"/>
    <xf numFmtId="4" fontId="0" fillId="10" borderId="0" xfId="0" applyNumberFormat="1" applyFill="1"/>
    <xf numFmtId="0" fontId="0" fillId="9" borderId="1" xfId="0" applyFill="1" applyBorder="1" applyAlignment="1">
      <alignment vertical="top" wrapText="1"/>
    </xf>
    <xf numFmtId="3" fontId="0" fillId="9" borderId="1" xfId="0" applyNumberFormat="1" applyFill="1" applyBorder="1" applyAlignment="1">
      <alignment vertical="top" wrapText="1"/>
    </xf>
    <xf numFmtId="0" fontId="0" fillId="0" borderId="20" xfId="0" applyBorder="1"/>
    <xf numFmtId="0" fontId="5" fillId="2" borderId="1" xfId="0" applyFont="1" applyFill="1" applyBorder="1" applyAlignment="1">
      <alignment vertical="top" wrapText="1"/>
    </xf>
    <xf numFmtId="9" fontId="0" fillId="0" borderId="1" xfId="0" applyNumberFormat="1" applyBorder="1" applyAlignment="1">
      <alignment vertical="top"/>
    </xf>
    <xf numFmtId="9" fontId="15" fillId="0" borderId="1" xfId="0" applyNumberFormat="1" applyFont="1" applyBorder="1" applyAlignment="1">
      <alignment vertical="top"/>
    </xf>
    <xf numFmtId="9" fontId="0" fillId="0" borderId="0" xfId="0" applyNumberFormat="1" applyAlignment="1">
      <alignment vertical="top"/>
    </xf>
    <xf numFmtId="0" fontId="0" fillId="0" borderId="0" xfId="0" applyAlignment="1">
      <alignment vertical="top"/>
    </xf>
    <xf numFmtId="0" fontId="3" fillId="0" borderId="0" xfId="1" applyAlignment="1">
      <alignment horizontal="left" vertical="top" wrapText="1"/>
    </xf>
    <xf numFmtId="0" fontId="0" fillId="5" borderId="1" xfId="0" applyFill="1" applyBorder="1" applyAlignment="1">
      <alignment horizontal="center" vertical="top" wrapText="1"/>
    </xf>
    <xf numFmtId="0" fontId="0" fillId="4" borderId="1" xfId="0" applyFill="1" applyBorder="1" applyAlignment="1">
      <alignment horizontal="center" vertical="top" wrapText="1"/>
    </xf>
    <xf numFmtId="0" fontId="4" fillId="5" borderId="1" xfId="0" applyFont="1" applyFill="1" applyBorder="1" applyAlignment="1">
      <alignment vertical="top" wrapText="1"/>
    </xf>
    <xf numFmtId="0" fontId="3" fillId="6" borderId="16" xfId="1" applyFill="1" applyBorder="1" applyAlignment="1">
      <alignment horizontal="center" vertical="top" wrapText="1"/>
    </xf>
    <xf numFmtId="0" fontId="3" fillId="6" borderId="15" xfId="1" applyFill="1" applyBorder="1" applyAlignment="1">
      <alignment horizontal="center" vertical="top" wrapText="1"/>
    </xf>
    <xf numFmtId="0" fontId="3" fillId="6" borderId="17" xfId="1" applyFill="1" applyBorder="1" applyAlignment="1">
      <alignment horizontal="center" vertical="top" wrapText="1"/>
    </xf>
    <xf numFmtId="164" fontId="0" fillId="5" borderId="1" xfId="0" applyNumberFormat="1" applyFill="1" applyBorder="1" applyAlignment="1">
      <alignment horizontal="center" vertical="top" wrapText="1"/>
    </xf>
    <xf numFmtId="0" fontId="0" fillId="0" borderId="0" xfId="0" applyAlignment="1">
      <alignment horizontal="center" vertical="top" wrapText="1"/>
    </xf>
    <xf numFmtId="0" fontId="0" fillId="0" borderId="0" xfId="0" applyAlignment="1">
      <alignment horizontal="left" vertical="top" wrapText="1"/>
    </xf>
    <xf numFmtId="0" fontId="8" fillId="0" borderId="0" xfId="0" applyFont="1" applyAlignment="1">
      <alignment horizontal="left" vertical="center" wrapText="1"/>
    </xf>
    <xf numFmtId="9" fontId="3" fillId="0" borderId="1" xfId="1" applyNumberFormat="1" applyBorder="1" applyAlignment="1">
      <alignment horizontal="center"/>
    </xf>
    <xf numFmtId="0" fontId="4" fillId="0" borderId="0" xfId="0" applyFont="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9" fontId="5" fillId="2" borderId="1" xfId="0" applyNumberFormat="1" applyFont="1" applyFill="1" applyBorder="1" applyAlignment="1">
      <alignment vertical="top" wrapText="1"/>
    </xf>
    <xf numFmtId="0" fontId="6" fillId="0" borderId="1" xfId="0" applyFont="1" applyBorder="1" applyAlignment="1">
      <alignment vertical="top"/>
    </xf>
    <xf numFmtId="0" fontId="5" fillId="2" borderId="1" xfId="0" applyFont="1" applyFill="1" applyBorder="1" applyAlignment="1">
      <alignment horizontal="center" vertical="top" wrapText="1"/>
    </xf>
    <xf numFmtId="0" fontId="0" fillId="10" borderId="0" xfId="0" applyFill="1" applyAlignment="1">
      <alignment horizontal="center" vertical="top" wrapText="1"/>
    </xf>
    <xf numFmtId="0" fontId="3" fillId="5" borderId="7" xfId="1" applyFill="1" applyBorder="1" applyAlignment="1">
      <alignment horizontal="center" vertical="top" wrapText="1"/>
    </xf>
    <xf numFmtId="0" fontId="3" fillId="5" borderId="8" xfId="1" applyFill="1" applyBorder="1" applyAlignment="1">
      <alignment horizontal="center" vertical="top" wrapText="1"/>
    </xf>
    <xf numFmtId="0" fontId="3" fillId="5" borderId="9" xfId="1" applyFill="1" applyBorder="1" applyAlignment="1">
      <alignment horizontal="center" vertical="top" wrapText="1"/>
    </xf>
    <xf numFmtId="0" fontId="0" fillId="5" borderId="7" xfId="0" applyFill="1" applyBorder="1" applyAlignment="1">
      <alignment horizontal="center" vertical="top" wrapText="1"/>
    </xf>
    <xf numFmtId="0" fontId="0" fillId="5" borderId="8" xfId="0" applyFill="1" applyBorder="1" applyAlignment="1">
      <alignment horizontal="center" vertical="top" wrapText="1"/>
    </xf>
    <xf numFmtId="0" fontId="0" fillId="5" borderId="9" xfId="0" applyFill="1" applyBorder="1" applyAlignment="1">
      <alignment horizontal="center" vertical="top" wrapText="1"/>
    </xf>
    <xf numFmtId="0" fontId="0" fillId="0" borderId="2" xfId="0" applyBorder="1" applyAlignment="1">
      <alignment horizontal="center"/>
    </xf>
    <xf numFmtId="0" fontId="11" fillId="0" borderId="0" xfId="0" applyFont="1" applyAlignment="1">
      <alignment horizontal="left"/>
    </xf>
    <xf numFmtId="0" fontId="0" fillId="3" borderId="1" xfId="0" applyFill="1" applyBorder="1" applyAlignment="1">
      <alignment horizontal="center" vertical="top" wrapText="1"/>
    </xf>
    <xf numFmtId="0" fontId="0" fillId="8" borderId="3" xfId="0" applyFill="1" applyBorder="1" applyAlignment="1">
      <alignment horizontal="center" vertical="top"/>
    </xf>
    <xf numFmtId="0" fontId="0" fillId="8" borderId="4" xfId="0" applyFill="1" applyBorder="1" applyAlignment="1">
      <alignment horizontal="center" vertical="top"/>
    </xf>
    <xf numFmtId="9" fontId="0" fillId="8" borderId="3" xfId="0" applyNumberFormat="1" applyFill="1" applyBorder="1" applyAlignment="1">
      <alignment vertical="top" wrapText="1"/>
    </xf>
    <xf numFmtId="9" fontId="0" fillId="8" borderId="4" xfId="0" applyNumberFormat="1" applyFill="1" applyBorder="1" applyAlignment="1">
      <alignment vertical="top" wrapText="1"/>
    </xf>
  </cellXfs>
  <cellStyles count="2">
    <cellStyle name="Link" xfId="1" builtinId="8"/>
    <cellStyle name="Standard" xfId="0" builtinId="0"/>
  </cellStyles>
  <dxfs count="0"/>
  <tableStyles count="0" defaultTableStyle="TableStyleMedium2" defaultPivotStyle="PivotStyleLight16"/>
  <colors>
    <mruColors>
      <color rgb="FFFFC1C1"/>
      <color rgb="FFB3D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812842799806783E-2"/>
          <c:y val="4.1493290943943155E-2"/>
          <c:w val="0.89299682531374291"/>
          <c:h val="0.66407274650370196"/>
        </c:manualLayout>
      </c:layout>
      <c:barChart>
        <c:barDir val="col"/>
        <c:grouping val="clustered"/>
        <c:varyColors val="0"/>
        <c:ser>
          <c:idx val="0"/>
          <c:order val="0"/>
          <c:tx>
            <c:strRef>
              <c:f>Grafik!$B$3</c:f>
              <c:strCache>
                <c:ptCount val="1"/>
                <c:pt idx="0">
                  <c:v>CO2-Emission (kg CO2-Äquival p.a.)</c:v>
                </c:pt>
              </c:strCache>
            </c:strRef>
          </c:tx>
          <c:spPr>
            <a:solidFill>
              <a:srgbClr val="FF0000"/>
            </a:solidFill>
            <a:ln>
              <a:noFill/>
            </a:ln>
            <a:effectLst/>
          </c:spPr>
          <c:invertIfNegative val="0"/>
          <c:dPt>
            <c:idx val="0"/>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1-799B-4DAB-8F16-6D47FE34B41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Grafik!$A$4:$A$9</c:f>
              <c:strCache>
                <c:ptCount val="6"/>
                <c:pt idx="0">
                  <c:v>Pelletheizung ohne Ansatz Holzbrand (DEPV)</c:v>
                </c:pt>
                <c:pt idx="1">
                  <c:v>Fernwärme aus Geothermie Gräfelfing*</c:v>
                </c:pt>
                <c:pt idx="2">
                  <c:v>Wärmepumpe L/W mit JAZ=2,5</c:v>
                </c:pt>
                <c:pt idx="3">
                  <c:v>Gas-Brennwertheizung</c:v>
                </c:pt>
                <c:pt idx="4">
                  <c:v>Öl-Brennwertheizung</c:v>
                </c:pt>
                <c:pt idx="5">
                  <c:v>Pelletheizung  mit Ansatz Holzbrand (WWF)</c:v>
                </c:pt>
              </c:strCache>
            </c:strRef>
          </c:cat>
          <c:val>
            <c:numRef>
              <c:f>Grafik!$B$4:$B$9</c:f>
              <c:numCache>
                <c:formatCode>#,##0</c:formatCode>
                <c:ptCount val="6"/>
                <c:pt idx="0">
                  <c:v>602.10526315789468</c:v>
                </c:pt>
                <c:pt idx="1">
                  <c:v>2210</c:v>
                </c:pt>
                <c:pt idx="2">
                  <c:v>3639.9999999999995</c:v>
                </c:pt>
                <c:pt idx="3">
                  <c:v>5528.4210526315792</c:v>
                </c:pt>
                <c:pt idx="4">
                  <c:v>7663.1578947368434</c:v>
                </c:pt>
                <c:pt idx="5">
                  <c:v>11029.473684210527</c:v>
                </c:pt>
              </c:numCache>
            </c:numRef>
          </c:val>
          <c:extLst>
            <c:ext xmlns:c16="http://schemas.microsoft.com/office/drawing/2014/chart" uri="{C3380CC4-5D6E-409C-BE32-E72D297353CC}">
              <c16:uniqueId val="{00000002-799B-4DAB-8F16-6D47FE34B413}"/>
            </c:ext>
          </c:extLst>
        </c:ser>
        <c:ser>
          <c:idx val="1"/>
          <c:order val="1"/>
          <c:tx>
            <c:strRef>
              <c:f>Grafik!$C$3</c:f>
              <c:strCache>
                <c:ptCount val="1"/>
                <c:pt idx="0">
                  <c:v>Heizkosten (EUR p.a.)</c:v>
                </c:pt>
              </c:strCache>
            </c:strRef>
          </c:tx>
          <c:spPr>
            <a:solidFill>
              <a:schemeClr val="bg1">
                <a:lumMod val="85000"/>
              </a:schemeClr>
            </a:solidFill>
            <a:ln>
              <a:noFill/>
            </a:ln>
            <a:effectLst/>
          </c:spPr>
          <c:invertIfNegative val="0"/>
          <c:dPt>
            <c:idx val="0"/>
            <c:invertIfNegative val="0"/>
            <c:bubble3D val="0"/>
            <c:spPr>
              <a:solidFill>
                <a:schemeClr val="bg1">
                  <a:lumMod val="85000"/>
                </a:schemeClr>
              </a:solidFill>
              <a:ln>
                <a:noFill/>
              </a:ln>
              <a:effectLst/>
            </c:spPr>
            <c:extLst>
              <c:ext xmlns:c16="http://schemas.microsoft.com/office/drawing/2014/chart" uri="{C3380CC4-5D6E-409C-BE32-E72D297353CC}">
                <c16:uniqueId val="{00000004-799B-4DAB-8F16-6D47FE34B41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Grafik!$A$4:$A$9</c:f>
              <c:strCache>
                <c:ptCount val="6"/>
                <c:pt idx="0">
                  <c:v>Pelletheizung ohne Ansatz Holzbrand (DEPV)</c:v>
                </c:pt>
                <c:pt idx="1">
                  <c:v>Fernwärme aus Geothermie Gräfelfing*</c:v>
                </c:pt>
                <c:pt idx="2">
                  <c:v>Wärmepumpe L/W mit JAZ=2,5</c:v>
                </c:pt>
                <c:pt idx="3">
                  <c:v>Gas-Brennwertheizung</c:v>
                </c:pt>
                <c:pt idx="4">
                  <c:v>Öl-Brennwertheizung</c:v>
                </c:pt>
                <c:pt idx="5">
                  <c:v>Pelletheizung  mit Ansatz Holzbrand (WWF)</c:v>
                </c:pt>
              </c:strCache>
            </c:strRef>
          </c:cat>
          <c:val>
            <c:numRef>
              <c:f>Grafik!$C$4:$C$9</c:f>
              <c:numCache>
                <c:formatCode>#,##0</c:formatCode>
                <c:ptCount val="6"/>
                <c:pt idx="0">
                  <c:v>3908.7192982456145</c:v>
                </c:pt>
                <c:pt idx="1">
                  <c:v>3860.0033333333331</c:v>
                </c:pt>
                <c:pt idx="2">
                  <c:v>4321</c:v>
                </c:pt>
                <c:pt idx="3">
                  <c:v>4075.21052631579</c:v>
                </c:pt>
                <c:pt idx="4">
                  <c:v>3537.8421052631579</c:v>
                </c:pt>
                <c:pt idx="5">
                  <c:v>3908.7192982456145</c:v>
                </c:pt>
              </c:numCache>
            </c:numRef>
          </c:val>
          <c:extLst>
            <c:ext xmlns:c16="http://schemas.microsoft.com/office/drawing/2014/chart" uri="{C3380CC4-5D6E-409C-BE32-E72D297353CC}">
              <c16:uniqueId val="{00000005-799B-4DAB-8F16-6D47FE34B413}"/>
            </c:ext>
          </c:extLst>
        </c:ser>
        <c:dLbls>
          <c:showLegendKey val="0"/>
          <c:showVal val="0"/>
          <c:showCatName val="0"/>
          <c:showSerName val="0"/>
          <c:showPercent val="0"/>
          <c:showBubbleSize val="0"/>
        </c:dLbls>
        <c:gapWidth val="219"/>
        <c:overlap val="-27"/>
        <c:axId val="391633664"/>
        <c:axId val="391627544"/>
      </c:barChart>
      <c:catAx>
        <c:axId val="391633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91627544"/>
        <c:crosses val="autoZero"/>
        <c:auto val="1"/>
        <c:lblAlgn val="ctr"/>
        <c:lblOffset val="100"/>
        <c:noMultiLvlLbl val="0"/>
      </c:catAx>
      <c:valAx>
        <c:axId val="3916275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916336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069298572890637E-2"/>
          <c:y val="2.2376188634770127E-2"/>
          <c:w val="0.89299682531374291"/>
          <c:h val="0.66407274650370196"/>
        </c:manualLayout>
      </c:layout>
      <c:barChart>
        <c:barDir val="col"/>
        <c:grouping val="clustered"/>
        <c:varyColors val="0"/>
        <c:ser>
          <c:idx val="0"/>
          <c:order val="0"/>
          <c:tx>
            <c:strRef>
              <c:f>Grafik!$B$3</c:f>
              <c:strCache>
                <c:ptCount val="1"/>
                <c:pt idx="0">
                  <c:v>CO2-Emission (kg CO2-Äquival p.a.)</c:v>
                </c:pt>
              </c:strCache>
            </c:strRef>
          </c:tx>
          <c:spPr>
            <a:solidFill>
              <a:srgbClr val="FF0000"/>
            </a:solidFill>
            <a:ln>
              <a:noFill/>
            </a:ln>
            <a:effectLst/>
          </c:spPr>
          <c:invertIfNegative val="0"/>
          <c:dPt>
            <c:idx val="0"/>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1-5172-43C0-91B8-4191EE3A7D1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Grafik!$A$14:$A$19</c:f>
              <c:strCache>
                <c:ptCount val="6"/>
                <c:pt idx="0">
                  <c:v>Pelletheizung ohne Ansatz Holzbrand (DEPV)</c:v>
                </c:pt>
                <c:pt idx="1">
                  <c:v>Fernwärme aus Geothermie Gräfelfing*</c:v>
                </c:pt>
                <c:pt idx="2">
                  <c:v>Wärmepumpe L/W mit JAZ=3</c:v>
                </c:pt>
                <c:pt idx="3">
                  <c:v>Gas-Brennwertheizung</c:v>
                </c:pt>
                <c:pt idx="4">
                  <c:v>Öl-Brennwertheizung</c:v>
                </c:pt>
                <c:pt idx="5">
                  <c:v>Pelletheizung  mit Ansatz Holzbrand (WWF)</c:v>
                </c:pt>
              </c:strCache>
            </c:strRef>
          </c:cat>
          <c:val>
            <c:numRef>
              <c:f>Grafik!$B$15:$B$19</c:f>
              <c:numCache>
                <c:formatCode>#,##0</c:formatCode>
                <c:ptCount val="5"/>
                <c:pt idx="0">
                  <c:v>1020.0000000000001</c:v>
                </c:pt>
                <c:pt idx="1">
                  <c:v>1679.9999999999995</c:v>
                </c:pt>
                <c:pt idx="2">
                  <c:v>2551.5789473684213</c:v>
                </c:pt>
                <c:pt idx="3">
                  <c:v>3536.8421052631584</c:v>
                </c:pt>
                <c:pt idx="4">
                  <c:v>5090.5263157894742</c:v>
                </c:pt>
              </c:numCache>
            </c:numRef>
          </c:val>
          <c:extLst>
            <c:ext xmlns:c16="http://schemas.microsoft.com/office/drawing/2014/chart" uri="{C3380CC4-5D6E-409C-BE32-E72D297353CC}">
              <c16:uniqueId val="{00000002-5172-43C0-91B8-4191EE3A7D19}"/>
            </c:ext>
          </c:extLst>
        </c:ser>
        <c:ser>
          <c:idx val="1"/>
          <c:order val="1"/>
          <c:tx>
            <c:strRef>
              <c:f>Grafik!$C$3</c:f>
              <c:strCache>
                <c:ptCount val="1"/>
                <c:pt idx="0">
                  <c:v>Heizkosten (EUR p.a.)</c:v>
                </c:pt>
              </c:strCache>
            </c:strRef>
          </c:tx>
          <c:spPr>
            <a:solidFill>
              <a:schemeClr val="bg1">
                <a:lumMod val="8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Grafik!$A$14:$A$19</c:f>
              <c:strCache>
                <c:ptCount val="6"/>
                <c:pt idx="0">
                  <c:v>Pelletheizung ohne Ansatz Holzbrand (DEPV)</c:v>
                </c:pt>
                <c:pt idx="1">
                  <c:v>Fernwärme aus Geothermie Gräfelfing*</c:v>
                </c:pt>
                <c:pt idx="2">
                  <c:v>Wärmepumpe L/W mit JAZ=3</c:v>
                </c:pt>
                <c:pt idx="3">
                  <c:v>Gas-Brennwertheizung</c:v>
                </c:pt>
                <c:pt idx="4">
                  <c:v>Öl-Brennwertheizung</c:v>
                </c:pt>
                <c:pt idx="5">
                  <c:v>Pelletheizung  mit Ansatz Holzbrand (WWF)</c:v>
                </c:pt>
              </c:strCache>
            </c:strRef>
          </c:cat>
          <c:val>
            <c:numRef>
              <c:f>Grafik!$C$15:$C$19</c:f>
              <c:numCache>
                <c:formatCode>#,##0</c:formatCode>
                <c:ptCount val="5"/>
                <c:pt idx="0">
                  <c:v>2912.9633333333336</c:v>
                </c:pt>
                <c:pt idx="1">
                  <c:v>2031</c:v>
                </c:pt>
                <c:pt idx="2">
                  <c:v>2206.7894736842109</c:v>
                </c:pt>
                <c:pt idx="3">
                  <c:v>2014.1578947368421</c:v>
                </c:pt>
                <c:pt idx="4">
                  <c:v>2514.9473684210525</c:v>
                </c:pt>
              </c:numCache>
            </c:numRef>
          </c:val>
          <c:extLst>
            <c:ext xmlns:c16="http://schemas.microsoft.com/office/drawing/2014/chart" uri="{C3380CC4-5D6E-409C-BE32-E72D297353CC}">
              <c16:uniqueId val="{00000003-5172-43C0-91B8-4191EE3A7D19}"/>
            </c:ext>
          </c:extLst>
        </c:ser>
        <c:dLbls>
          <c:showLegendKey val="0"/>
          <c:showVal val="0"/>
          <c:showCatName val="0"/>
          <c:showSerName val="0"/>
          <c:showPercent val="0"/>
          <c:showBubbleSize val="0"/>
        </c:dLbls>
        <c:gapWidth val="219"/>
        <c:overlap val="-27"/>
        <c:axId val="391633664"/>
        <c:axId val="391627544"/>
      </c:barChart>
      <c:catAx>
        <c:axId val="391633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91627544"/>
        <c:crosses val="autoZero"/>
        <c:auto val="1"/>
        <c:lblAlgn val="ctr"/>
        <c:lblOffset val="100"/>
        <c:noMultiLvlLbl val="0"/>
      </c:catAx>
      <c:valAx>
        <c:axId val="3916275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916336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Fernwärmevergleich unsaniert, Wärmebedarf 26 MWh/a</a:t>
            </a:r>
            <a:br>
              <a:rPr lang="en-US"/>
            </a:br>
            <a:r>
              <a:rPr lang="en-US" sz="1200"/>
              <a:t> </a:t>
            </a:r>
            <a:r>
              <a:rPr lang="en-US" sz="1100"/>
              <a:t>Kosten p.a. in EUR</a:t>
            </a:r>
            <a:endParaRPr lang="en-US"/>
          </a:p>
        </c:rich>
      </c:tx>
      <c:layout>
        <c:manualLayout>
          <c:xMode val="edge"/>
          <c:yMode val="edge"/>
          <c:x val="0.12872222222222221"/>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'Geothermie Landkreis-Vergleich'!$T$4:$T$7</c:f>
              <c:strCache>
                <c:ptCount val="4"/>
                <c:pt idx="2">
                  <c:v>Kostenvergleich (unsaniert)</c:v>
                </c:pt>
                <c:pt idx="3">
                  <c:v>Kosten p.a.</c:v>
                </c:pt>
              </c:strCache>
            </c:strRef>
          </c:tx>
          <c:spPr>
            <a:solidFill>
              <a:schemeClr val="bg1">
                <a:lumMod val="75000"/>
              </a:schemeClr>
            </a:solidFill>
            <a:ln>
              <a:noFill/>
            </a:ln>
            <a:effectLst/>
          </c:spPr>
          <c:invertIfNegative val="0"/>
          <c:dPt>
            <c:idx val="3"/>
            <c:invertIfNegative val="0"/>
            <c:bubble3D val="0"/>
            <c:spPr>
              <a:solidFill>
                <a:schemeClr val="bg1">
                  <a:lumMod val="95000"/>
                </a:schemeClr>
              </a:solidFill>
              <a:ln>
                <a:noFill/>
              </a:ln>
              <a:effectLst/>
            </c:spPr>
            <c:extLst>
              <c:ext xmlns:c16="http://schemas.microsoft.com/office/drawing/2014/chart" uri="{C3380CC4-5D6E-409C-BE32-E72D297353CC}">
                <c16:uniqueId val="{00000000-C30B-4C0E-AC85-155D987D5B2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'Geothermie Landkreis-Vergleich'!$S$8:$S$12</c:f>
              <c:strCache>
                <c:ptCount val="5"/>
                <c:pt idx="0">
                  <c:v>Gräfelfing</c:v>
                </c:pt>
                <c:pt idx="1">
                  <c:v>Grünwald</c:v>
                </c:pt>
                <c:pt idx="2">
                  <c:v>Unterhaching Normal</c:v>
                </c:pt>
                <c:pt idx="3">
                  <c:v>Unterhaching Mini</c:v>
                </c:pt>
                <c:pt idx="4">
                  <c:v>Pullach</c:v>
                </c:pt>
              </c:strCache>
            </c:strRef>
          </c:cat>
          <c:val>
            <c:numRef>
              <c:f>'Geothermie Landkreis-Vergleich'!$T$8:$T$12</c:f>
              <c:numCache>
                <c:formatCode>#,##0</c:formatCode>
                <c:ptCount val="5"/>
                <c:pt idx="0">
                  <c:v>3860.0033333333331</c:v>
                </c:pt>
                <c:pt idx="1">
                  <c:v>3205.4666666666662</c:v>
                </c:pt>
                <c:pt idx="2">
                  <c:v>3375.8408666666669</c:v>
                </c:pt>
                <c:pt idx="3" formatCode="#,##0.00">
                  <c:v>3728.9608666666668</c:v>
                </c:pt>
                <c:pt idx="4">
                  <c:v>2960.7254333333335</c:v>
                </c:pt>
              </c:numCache>
            </c:numRef>
          </c:val>
          <c:extLst>
            <c:ext xmlns:c16="http://schemas.microsoft.com/office/drawing/2014/chart" uri="{C3380CC4-5D6E-409C-BE32-E72D297353CC}">
              <c16:uniqueId val="{00000000-3C4E-4045-B82A-CC7ACBF2A969}"/>
            </c:ext>
          </c:extLst>
        </c:ser>
        <c:dLbls>
          <c:showLegendKey val="0"/>
          <c:showVal val="0"/>
          <c:showCatName val="0"/>
          <c:showSerName val="0"/>
          <c:showPercent val="0"/>
          <c:showBubbleSize val="0"/>
        </c:dLbls>
        <c:gapWidth val="219"/>
        <c:overlap val="-27"/>
        <c:axId val="513472992"/>
        <c:axId val="513472272"/>
        <c:extLst>
          <c:ext xmlns:c15="http://schemas.microsoft.com/office/drawing/2012/chart" uri="{02D57815-91ED-43cb-92C2-25804820EDAC}">
            <c15:filteredBarSeries>
              <c15:ser>
                <c:idx val="1"/>
                <c:order val="1"/>
                <c:tx>
                  <c:strRef>
                    <c:extLst>
                      <c:ext uri="{02D57815-91ED-43cb-92C2-25804820EDAC}">
                        <c15:formulaRef>
                          <c15:sqref>'Geothermie Landkreis-Vergleich'!$U$4:$U$7</c15:sqref>
                        </c15:formulaRef>
                      </c:ext>
                    </c:extLst>
                    <c:strCache>
                      <c:ptCount val="4"/>
                      <c:pt idx="2">
                        <c:v>Kostenvergleich (unsaniert)</c:v>
                      </c:pt>
                      <c:pt idx="3">
                        <c:v>Kosten p.a.</c:v>
                      </c:pt>
                    </c:strCache>
                  </c:strRef>
                </c:tx>
                <c:spPr>
                  <a:solidFill>
                    <a:schemeClr val="accent2"/>
                  </a:solidFill>
                  <a:ln>
                    <a:noFill/>
                  </a:ln>
                  <a:effectLst/>
                </c:spPr>
                <c:invertIfNegative val="0"/>
                <c:cat>
                  <c:strRef>
                    <c:extLst>
                      <c:ext uri="{02D57815-91ED-43cb-92C2-25804820EDAC}">
                        <c15:formulaRef>
                          <c15:sqref>'Geothermie Landkreis-Vergleich'!$S$8:$S$12</c15:sqref>
                        </c15:formulaRef>
                      </c:ext>
                    </c:extLst>
                    <c:strCache>
                      <c:ptCount val="5"/>
                      <c:pt idx="0">
                        <c:v>Gräfelfing</c:v>
                      </c:pt>
                      <c:pt idx="1">
                        <c:v>Grünwald</c:v>
                      </c:pt>
                      <c:pt idx="2">
                        <c:v>Unterhaching Normal</c:v>
                      </c:pt>
                      <c:pt idx="3">
                        <c:v>Unterhaching Mini</c:v>
                      </c:pt>
                      <c:pt idx="4">
                        <c:v>Pullach</c:v>
                      </c:pt>
                    </c:strCache>
                  </c:strRef>
                </c:cat>
                <c:val>
                  <c:numRef>
                    <c:extLst>
                      <c:ext uri="{02D57815-91ED-43cb-92C2-25804820EDAC}">
                        <c15:formulaRef>
                          <c15:sqref>'Geothermie Landkreis-Vergleich'!$U$8:$U$12</c15:sqref>
                        </c15:formulaRef>
                      </c:ext>
                    </c:extLst>
                    <c:numCache>
                      <c:formatCode>General</c:formatCode>
                      <c:ptCount val="5"/>
                    </c:numCache>
                  </c:numRef>
                </c:val>
                <c:extLst>
                  <c:ext xmlns:c16="http://schemas.microsoft.com/office/drawing/2014/chart" uri="{C3380CC4-5D6E-409C-BE32-E72D297353CC}">
                    <c16:uniqueId val="{00000001-3C4E-4045-B82A-CC7ACBF2A969}"/>
                  </c:ext>
                </c:extLst>
              </c15:ser>
            </c15:filteredBarSeries>
          </c:ext>
        </c:extLst>
      </c:barChart>
      <c:catAx>
        <c:axId val="51347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13472272"/>
        <c:crosses val="autoZero"/>
        <c:auto val="1"/>
        <c:lblAlgn val="ctr"/>
        <c:lblOffset val="100"/>
        <c:noMultiLvlLbl val="0"/>
      </c:catAx>
      <c:valAx>
        <c:axId val="5134722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13472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Fernwärmevergleich saniert, Wärmebedarf 12 MWh p.a. </a:t>
            </a:r>
          </a:p>
          <a:p>
            <a:pPr>
              <a:defRPr/>
            </a:pPr>
            <a:r>
              <a:rPr lang="en-US" sz="1100"/>
              <a:t>Kosten p.a. in EUR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'Geothermie Landkreis-Vergleich'!$T$24:$T$27</c:f>
              <c:strCache>
                <c:ptCount val="4"/>
                <c:pt idx="2">
                  <c:v>Kostenvergleich (saniert)</c:v>
                </c:pt>
                <c:pt idx="3">
                  <c:v>Kosten p.a.</c:v>
                </c:pt>
              </c:strCache>
            </c:strRef>
          </c:tx>
          <c:spPr>
            <a:solidFill>
              <a:schemeClr val="bg1">
                <a:lumMod val="75000"/>
              </a:schemeClr>
            </a:solidFill>
            <a:ln>
              <a:noFill/>
            </a:ln>
            <a:effectLst/>
          </c:spPr>
          <c:invertIfNegative val="0"/>
          <c:dPt>
            <c:idx val="2"/>
            <c:invertIfNegative val="0"/>
            <c:bubble3D val="0"/>
            <c:spPr>
              <a:solidFill>
                <a:schemeClr val="bg1">
                  <a:lumMod val="95000"/>
                </a:schemeClr>
              </a:solidFill>
              <a:ln>
                <a:noFill/>
              </a:ln>
              <a:effectLst/>
            </c:spPr>
            <c:extLst>
              <c:ext xmlns:c16="http://schemas.microsoft.com/office/drawing/2014/chart" uri="{C3380CC4-5D6E-409C-BE32-E72D297353CC}">
                <c16:uniqueId val="{00000000-DE31-4A2B-974E-E4FD389F188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'Geothermie Landkreis-Vergleich'!$S$28:$S$32</c:f>
              <c:strCache>
                <c:ptCount val="5"/>
                <c:pt idx="0">
                  <c:v>Gräfelfing</c:v>
                </c:pt>
                <c:pt idx="1">
                  <c:v>Grünwald</c:v>
                </c:pt>
                <c:pt idx="2">
                  <c:v>Unterhaching Normal</c:v>
                </c:pt>
                <c:pt idx="3">
                  <c:v>Unterhaching Mini</c:v>
                </c:pt>
                <c:pt idx="4">
                  <c:v>Pullach</c:v>
                </c:pt>
              </c:strCache>
            </c:strRef>
          </c:cat>
          <c:val>
            <c:numRef>
              <c:f>'Geothermie Landkreis-Vergleich'!$T$28:$T$32</c:f>
              <c:numCache>
                <c:formatCode>#,##0</c:formatCode>
                <c:ptCount val="5"/>
                <c:pt idx="0">
                  <c:v>3246.5466666666671</c:v>
                </c:pt>
                <c:pt idx="1">
                  <c:v>1618.8833333333334</c:v>
                </c:pt>
                <c:pt idx="2">
                  <c:v>2356.4017333333336</c:v>
                </c:pt>
                <c:pt idx="3">
                  <c:v>2352.2017333333333</c:v>
                </c:pt>
                <c:pt idx="4">
                  <c:v>2344.746533333333</c:v>
                </c:pt>
              </c:numCache>
            </c:numRef>
          </c:val>
          <c:extLst>
            <c:ext xmlns:c16="http://schemas.microsoft.com/office/drawing/2014/chart" uri="{C3380CC4-5D6E-409C-BE32-E72D297353CC}">
              <c16:uniqueId val="{00000000-07FA-44D1-A914-D99B01BDFFA9}"/>
            </c:ext>
          </c:extLst>
        </c:ser>
        <c:dLbls>
          <c:showLegendKey val="0"/>
          <c:showVal val="0"/>
          <c:showCatName val="0"/>
          <c:showSerName val="0"/>
          <c:showPercent val="0"/>
          <c:showBubbleSize val="0"/>
        </c:dLbls>
        <c:gapWidth val="219"/>
        <c:overlap val="-27"/>
        <c:axId val="513470832"/>
        <c:axId val="513470112"/>
        <c:extLst>
          <c:ext xmlns:c15="http://schemas.microsoft.com/office/drawing/2012/chart" uri="{02D57815-91ED-43cb-92C2-25804820EDAC}">
            <c15:filteredBarSeries>
              <c15:ser>
                <c:idx val="1"/>
                <c:order val="1"/>
                <c:tx>
                  <c:strRef>
                    <c:extLst>
                      <c:ext uri="{02D57815-91ED-43cb-92C2-25804820EDAC}">
                        <c15:formulaRef>
                          <c15:sqref>'Geothermie Landkreis-Vergleich'!$U$24:$U$27</c15:sqref>
                        </c15:formulaRef>
                      </c:ext>
                    </c:extLst>
                    <c:strCache>
                      <c:ptCount val="4"/>
                      <c:pt idx="2">
                        <c:v>Kostenvergleich (saniert)</c:v>
                      </c:pt>
                      <c:pt idx="3">
                        <c:v>Kosten p.a.</c:v>
                      </c:pt>
                    </c:strCache>
                  </c:strRef>
                </c:tx>
                <c:spPr>
                  <a:solidFill>
                    <a:schemeClr val="accent2"/>
                  </a:solidFill>
                  <a:ln>
                    <a:noFill/>
                  </a:ln>
                  <a:effectLst/>
                </c:spPr>
                <c:invertIfNegative val="0"/>
                <c:cat>
                  <c:strRef>
                    <c:extLst>
                      <c:ext uri="{02D57815-91ED-43cb-92C2-25804820EDAC}">
                        <c15:formulaRef>
                          <c15:sqref>'Geothermie Landkreis-Vergleich'!$S$28:$S$32</c15:sqref>
                        </c15:formulaRef>
                      </c:ext>
                    </c:extLst>
                    <c:strCache>
                      <c:ptCount val="5"/>
                      <c:pt idx="0">
                        <c:v>Gräfelfing</c:v>
                      </c:pt>
                      <c:pt idx="1">
                        <c:v>Grünwald</c:v>
                      </c:pt>
                      <c:pt idx="2">
                        <c:v>Unterhaching Normal</c:v>
                      </c:pt>
                      <c:pt idx="3">
                        <c:v>Unterhaching Mini</c:v>
                      </c:pt>
                      <c:pt idx="4">
                        <c:v>Pullach</c:v>
                      </c:pt>
                    </c:strCache>
                  </c:strRef>
                </c:cat>
                <c:val>
                  <c:numRef>
                    <c:extLst>
                      <c:ext uri="{02D57815-91ED-43cb-92C2-25804820EDAC}">
                        <c15:formulaRef>
                          <c15:sqref>'Geothermie Landkreis-Vergleich'!$U$28:$U$32</c15:sqref>
                        </c15:formulaRef>
                      </c:ext>
                    </c:extLst>
                    <c:numCache>
                      <c:formatCode>General</c:formatCode>
                      <c:ptCount val="5"/>
                    </c:numCache>
                  </c:numRef>
                </c:val>
                <c:extLst>
                  <c:ext xmlns:c16="http://schemas.microsoft.com/office/drawing/2014/chart" uri="{C3380CC4-5D6E-409C-BE32-E72D297353CC}">
                    <c16:uniqueId val="{00000001-07FA-44D1-A914-D99B01BDFFA9}"/>
                  </c:ext>
                </c:extLst>
              </c15:ser>
            </c15:filteredBarSeries>
          </c:ext>
        </c:extLst>
      </c:barChart>
      <c:catAx>
        <c:axId val="51347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13470112"/>
        <c:crosses val="autoZero"/>
        <c:auto val="1"/>
        <c:lblAlgn val="ctr"/>
        <c:lblOffset val="100"/>
        <c:noMultiLvlLbl val="0"/>
      </c:catAx>
      <c:valAx>
        <c:axId val="5134701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134708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3</xdr:col>
      <xdr:colOff>285751</xdr:colOff>
      <xdr:row>1</xdr:row>
      <xdr:rowOff>6350</xdr:rowOff>
    </xdr:from>
    <xdr:to>
      <xdr:col>13</xdr:col>
      <xdr:colOff>701054</xdr:colOff>
      <xdr:row>10</xdr:row>
      <xdr:rowOff>12700</xdr:rowOff>
    </xdr:to>
    <xdr:graphicFrame macro="">
      <xdr:nvGraphicFramePr>
        <xdr:cNvPr id="3" name="Diagramm 2">
          <a:extLst>
            <a:ext uri="{FF2B5EF4-FFF2-40B4-BE49-F238E27FC236}">
              <a16:creationId xmlns:a16="http://schemas.microsoft.com/office/drawing/2014/main" id="{CF35816A-7126-4CC2-9E0D-07E9CC3F22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11</xdr:row>
      <xdr:rowOff>105833</xdr:rowOff>
    </xdr:from>
    <xdr:to>
      <xdr:col>13</xdr:col>
      <xdr:colOff>708718</xdr:colOff>
      <xdr:row>21</xdr:row>
      <xdr:rowOff>2116</xdr:rowOff>
    </xdr:to>
    <xdr:grpSp>
      <xdr:nvGrpSpPr>
        <xdr:cNvPr id="14" name="Gruppieren 13">
          <a:extLst>
            <a:ext uri="{FF2B5EF4-FFF2-40B4-BE49-F238E27FC236}">
              <a16:creationId xmlns:a16="http://schemas.microsoft.com/office/drawing/2014/main" id="{2FA21E70-2C71-4A1E-B3C4-A8E538AC6599}"/>
            </a:ext>
          </a:extLst>
        </xdr:cNvPr>
        <xdr:cNvGrpSpPr/>
      </xdr:nvGrpSpPr>
      <xdr:grpSpPr>
        <a:xfrm>
          <a:off x="3450167" y="3217333"/>
          <a:ext cx="7566718" cy="2457450"/>
          <a:chOff x="22307349" y="7155279"/>
          <a:chExt cx="7569638" cy="4626783"/>
        </a:xfrm>
      </xdr:grpSpPr>
      <xdr:graphicFrame macro="">
        <xdr:nvGraphicFramePr>
          <xdr:cNvPr id="15" name="Diagramm 14">
            <a:extLst>
              <a:ext uri="{FF2B5EF4-FFF2-40B4-BE49-F238E27FC236}">
                <a16:creationId xmlns:a16="http://schemas.microsoft.com/office/drawing/2014/main" id="{CE891D04-1847-C951-332E-FE456C07F075}"/>
              </a:ext>
            </a:extLst>
          </xdr:cNvPr>
          <xdr:cNvGraphicFramePr>
            <a:graphicFrameLocks/>
          </xdr:cNvGraphicFramePr>
        </xdr:nvGraphicFramePr>
        <xdr:xfrm>
          <a:off x="22307349" y="7155279"/>
          <a:ext cx="7569638" cy="4626783"/>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16" name="Textfeld 1">
            <a:extLst>
              <a:ext uri="{FF2B5EF4-FFF2-40B4-BE49-F238E27FC236}">
                <a16:creationId xmlns:a16="http://schemas.microsoft.com/office/drawing/2014/main" id="{C67B6B77-AB61-F92B-EF2D-5352AF8EA032}"/>
              </a:ext>
            </a:extLst>
          </xdr:cNvPr>
          <xdr:cNvSpPr txBox="1"/>
        </xdr:nvSpPr>
        <xdr:spPr>
          <a:xfrm>
            <a:off x="23744534" y="7440615"/>
            <a:ext cx="3802874" cy="33188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1600"/>
              <a:t>Saniert - Wärmebedarf 12 MWh</a:t>
            </a:r>
            <a:r>
              <a:rPr lang="de-DE" sz="1600" baseline="0"/>
              <a:t> pro Jahr</a:t>
            </a:r>
            <a:endParaRPr lang="de-DE" sz="1600"/>
          </a:p>
        </xdr:txBody>
      </xdr:sp>
    </xdr:grpSp>
    <xdr:clientData/>
  </xdr:twoCellAnchor>
</xdr:wsDr>
</file>

<file path=xl/drawings/drawing2.xml><?xml version="1.0" encoding="utf-8"?>
<c:userShapes xmlns:c="http://schemas.openxmlformats.org/drawingml/2006/chart">
  <cdr:relSizeAnchor xmlns:cdr="http://schemas.openxmlformats.org/drawingml/2006/chartDrawing">
    <cdr:from>
      <cdr:x>0.22328</cdr:x>
      <cdr:y>0.09203</cdr:y>
    </cdr:from>
    <cdr:to>
      <cdr:x>0.72565</cdr:x>
      <cdr:y>0.17872</cdr:y>
    </cdr:to>
    <cdr:sp macro="" textlink="">
      <cdr:nvSpPr>
        <cdr:cNvPr id="2" name="Textfeld 1">
          <a:extLst xmlns:a="http://schemas.openxmlformats.org/drawingml/2006/main">
            <a:ext uri="{FF2B5EF4-FFF2-40B4-BE49-F238E27FC236}">
              <a16:creationId xmlns:a16="http://schemas.microsoft.com/office/drawing/2014/main" id="{0C769F9F-C16A-3731-1652-4A68E328ACB4}"/>
            </a:ext>
          </a:extLst>
        </cdr:cNvPr>
        <cdr:cNvSpPr txBox="1"/>
      </cdr:nvSpPr>
      <cdr:spPr>
        <a:xfrm xmlns:a="http://schemas.openxmlformats.org/drawingml/2006/main">
          <a:off x="1696651" y="356927"/>
          <a:ext cx="3817472" cy="33617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600"/>
            <a:t>Unsaniert - Wärmebedarf 26 MWh</a:t>
          </a:r>
          <a:r>
            <a:rPr lang="de-DE" sz="1600" baseline="0"/>
            <a:t> pro Jahr</a:t>
          </a:r>
          <a:endParaRPr lang="de-DE" sz="1600"/>
        </a:p>
      </cdr:txBody>
    </cdr:sp>
  </cdr:relSizeAnchor>
</c:userShapes>
</file>

<file path=xl/drawings/drawing3.xml><?xml version="1.0" encoding="utf-8"?>
<xdr:wsDr xmlns:xdr="http://schemas.openxmlformats.org/drawingml/2006/spreadsheetDrawing" xmlns:a="http://schemas.openxmlformats.org/drawingml/2006/main">
  <xdr:twoCellAnchor>
    <xdr:from>
      <xdr:col>20</xdr:col>
      <xdr:colOff>355236</xdr:colOff>
      <xdr:row>3</xdr:row>
      <xdr:rowOff>135054</xdr:rowOff>
    </xdr:from>
    <xdr:to>
      <xdr:col>26</xdr:col>
      <xdr:colOff>338849</xdr:colOff>
      <xdr:row>19</xdr:row>
      <xdr:rowOff>134327</xdr:rowOff>
    </xdr:to>
    <xdr:graphicFrame macro="">
      <xdr:nvGraphicFramePr>
        <xdr:cNvPr id="2" name="Diagramm 1">
          <a:extLst>
            <a:ext uri="{FF2B5EF4-FFF2-40B4-BE49-F238E27FC236}">
              <a16:creationId xmlns:a16="http://schemas.microsoft.com/office/drawing/2014/main" id="{70D48F8D-1BFE-D028-344B-67EE301CF01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370074</xdr:colOff>
      <xdr:row>21</xdr:row>
      <xdr:rowOff>134327</xdr:rowOff>
    </xdr:from>
    <xdr:to>
      <xdr:col>26</xdr:col>
      <xdr:colOff>353687</xdr:colOff>
      <xdr:row>37</xdr:row>
      <xdr:rowOff>137645</xdr:rowOff>
    </xdr:to>
    <xdr:graphicFrame macro="">
      <xdr:nvGraphicFramePr>
        <xdr:cNvPr id="3" name="Diagramm 2">
          <a:extLst>
            <a:ext uri="{FF2B5EF4-FFF2-40B4-BE49-F238E27FC236}">
              <a16:creationId xmlns:a16="http://schemas.microsoft.com/office/drawing/2014/main" id="{96E9D87A-37D6-D2D2-BD37-22DD9DC234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hermondo.de/info/rat/vergleich/wirkungsgrad-der-heizung/" TargetMode="External"/><Relationship Id="rId3" Type="http://schemas.openxmlformats.org/officeDocument/2006/relationships/hyperlink" Target="https://de.statista.com/statistik/daten/studie/38897/umfrage/co2-emissionsfaktor-fuer-den-strommix-in-deutschland-seit-1990/" TargetMode="External"/><Relationship Id="rId7" Type="http://schemas.openxmlformats.org/officeDocument/2006/relationships/hyperlink" Target="https://depv.de/p/Bessere-CO2-Bilanz-mit-Holzpellets-pWuQQ4VvuNQoYjUzRf778Z" TargetMode="External"/><Relationship Id="rId12" Type="http://schemas.openxmlformats.org/officeDocument/2006/relationships/comments" Target="../comments1.xml"/><Relationship Id="rId2" Type="http://schemas.openxmlformats.org/officeDocument/2006/relationships/hyperlink" Target="https://www.ingenieur.de/technik/fachbereiche/energie/geothermie-unerschoepflich-unerschlossen/" TargetMode="External"/><Relationship Id="rId1" Type="http://schemas.openxmlformats.org/officeDocument/2006/relationships/hyperlink" Target="https://www.energiewechsel.de/KAENEF/Redaktion/DE/Foerderprogramme/beg-em-privat.html" TargetMode="External"/><Relationship Id="rId6" Type="http://schemas.openxmlformats.org/officeDocument/2006/relationships/hyperlink" Target="https://www.thermondo.de/info/rat/vergleich/co2-steuer-heizen/" TargetMode="External"/><Relationship Id="rId11" Type="http://schemas.openxmlformats.org/officeDocument/2006/relationships/vmlDrawing" Target="../drawings/vmlDrawing1.vml"/><Relationship Id="rId5" Type="http://schemas.openxmlformats.org/officeDocument/2006/relationships/hyperlink" Target="https://www.thermondo.de/info/rat/vergleich/co2-steuer-heizen/" TargetMode="External"/><Relationship Id="rId10" Type="http://schemas.openxmlformats.org/officeDocument/2006/relationships/printerSettings" Target="../printerSettings/printerSettings1.bin"/><Relationship Id="rId4" Type="http://schemas.openxmlformats.org/officeDocument/2006/relationships/hyperlink" Target="https://www.wwf.de/themen-projekte/waelder/wald-und-klima/wie-holzverbrennung-den-klimawandel-befeuert?gclid=Cj0KCQjwwvilBhCFARIsADvYi7Jm13bBdZtEW7tSH7AV7yGEFE62dEo1jucth1FAe5kCL4bnvBagx3EaAgpZEALw_wcB" TargetMode="External"/><Relationship Id="rId9" Type="http://schemas.openxmlformats.org/officeDocument/2006/relationships/hyperlink" Target="https://www.dein-heizungsbauer.de/ratgeber/bauen-sanieren/pufferspeicher-heizung/"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energiewechsel.de/KAENEF/Redaktion/DE/Foerderprogramme/beg-em-privat.html" TargetMode="External"/><Relationship Id="rId3" Type="http://schemas.openxmlformats.org/officeDocument/2006/relationships/hyperlink" Target="https://www.wwf.de/themen-projekte/waelder/wald-und-klima/wie-holzverbrennung-den-klimawandel-befeuert?gclid=Cj0KCQjwwvilBhCFARIsADvYi7Jm13bBdZtEW7tSH7AV7yGEFE62dEo1jucth1FAe5kCL4bnvBagx3EaAgpZEALw_wcB" TargetMode="External"/><Relationship Id="rId7" Type="http://schemas.openxmlformats.org/officeDocument/2006/relationships/hyperlink" Target="https://www.dein-heizungsbauer.de/ratgeber/bauen-sanieren/pufferspeicher-heizung/" TargetMode="External"/><Relationship Id="rId12" Type="http://schemas.openxmlformats.org/officeDocument/2006/relationships/comments" Target="../comments2.xml"/><Relationship Id="rId2" Type="http://schemas.openxmlformats.org/officeDocument/2006/relationships/hyperlink" Target="https://de.statista.com/statistik/daten/studie/38897/umfrage/co2-emissionsfaktor-fuer-den-strommix-in-deutschland-seit-1990/" TargetMode="External"/><Relationship Id="rId1" Type="http://schemas.openxmlformats.org/officeDocument/2006/relationships/hyperlink" Target="https://www.ingenieur.de/technik/fachbereiche/energie/geothermie-unerschoepflich-unerschlossen/" TargetMode="External"/><Relationship Id="rId6" Type="http://schemas.openxmlformats.org/officeDocument/2006/relationships/hyperlink" Target="https://depv.de/p/Bessere-CO2-Bilanz-mit-Holzpellets-pWuQQ4VvuNQoYjUzRf778Z" TargetMode="External"/><Relationship Id="rId11" Type="http://schemas.openxmlformats.org/officeDocument/2006/relationships/vmlDrawing" Target="../drawings/vmlDrawing2.vml"/><Relationship Id="rId5" Type="http://schemas.openxmlformats.org/officeDocument/2006/relationships/hyperlink" Target="https://www.thermondo.de/info/rat/vergleich/co2-steuer-heizen/" TargetMode="External"/><Relationship Id="rId10" Type="http://schemas.openxmlformats.org/officeDocument/2006/relationships/printerSettings" Target="../printerSettings/printerSettings2.bin"/><Relationship Id="rId4" Type="http://schemas.openxmlformats.org/officeDocument/2006/relationships/hyperlink" Target="https://www.thermondo.de/info/rat/vergleich/co2-steuer-heizen/" TargetMode="External"/><Relationship Id="rId9" Type="http://schemas.openxmlformats.org/officeDocument/2006/relationships/hyperlink" Target="https://www.thermondo.de/info/rat/vergleich/wirkungsgrad-der-heizung/"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energieheld.de/heizung/kosten" TargetMode="External"/><Relationship Id="rId13" Type="http://schemas.openxmlformats.org/officeDocument/2006/relationships/hyperlink" Target="https://www.energiewechsel.de/KAENEF/Redaktion/DE/Foerderprogramme/beg-em-privat.html" TargetMode="External"/><Relationship Id="rId3" Type="http://schemas.openxmlformats.org/officeDocument/2006/relationships/hyperlink" Target="https://www.energieheld.de/heizung/kosten" TargetMode="External"/><Relationship Id="rId7" Type="http://schemas.openxmlformats.org/officeDocument/2006/relationships/hyperlink" Target="https://www.energieheld.de/heizung/kosten" TargetMode="External"/><Relationship Id="rId12" Type="http://schemas.openxmlformats.org/officeDocument/2006/relationships/hyperlink" Target="https://www.energieheld.de/heizung/kosten" TargetMode="External"/><Relationship Id="rId2" Type="http://schemas.openxmlformats.org/officeDocument/2006/relationships/hyperlink" Target="https://www.energieheld.de/heizung/kosten" TargetMode="External"/><Relationship Id="rId16" Type="http://schemas.openxmlformats.org/officeDocument/2006/relationships/comments" Target="../comments3.xml"/><Relationship Id="rId1" Type="http://schemas.openxmlformats.org/officeDocument/2006/relationships/hyperlink" Target="https://www.energieheld.de/heizung/kosten" TargetMode="External"/><Relationship Id="rId6" Type="http://schemas.openxmlformats.org/officeDocument/2006/relationships/hyperlink" Target="https://www.energieheld.de/heizung/waermepumpe" TargetMode="External"/><Relationship Id="rId11" Type="http://schemas.openxmlformats.org/officeDocument/2006/relationships/hyperlink" Target="https://www.energieheld.de/heizung/kosten" TargetMode="External"/><Relationship Id="rId5" Type="http://schemas.openxmlformats.org/officeDocument/2006/relationships/hyperlink" Target="https://www.energieheld.de/heizung/kosten" TargetMode="External"/><Relationship Id="rId15" Type="http://schemas.openxmlformats.org/officeDocument/2006/relationships/vmlDrawing" Target="../drawings/vmlDrawing3.vml"/><Relationship Id="rId10" Type="http://schemas.openxmlformats.org/officeDocument/2006/relationships/hyperlink" Target="https://www.energieheld.de/heizung/kosten" TargetMode="External"/><Relationship Id="rId4" Type="http://schemas.openxmlformats.org/officeDocument/2006/relationships/hyperlink" Target="https://www.energieheld.de/heizung/kosten" TargetMode="External"/><Relationship Id="rId9" Type="http://schemas.openxmlformats.org/officeDocument/2006/relationships/hyperlink" Target="https://www.energieheld.de/heizung/kosten"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hyperlink" Target="https://geothermie-unterhaching.de/wp-content/uploads/2023/01/Preisblatt_FW_Unterhaching_08.11.2022_aktuell.pdf" TargetMode="External"/><Relationship Id="rId7" Type="http://schemas.openxmlformats.org/officeDocument/2006/relationships/vmlDrawing" Target="../drawings/vmlDrawing4.vml"/><Relationship Id="rId2" Type="http://schemas.openxmlformats.org/officeDocument/2006/relationships/hyperlink" Target="https://www.erdwaerme-gruenwald.de/_obj/0498E785-632D-4CFF-A087-05882341BDAA/outline/Nr-14-Preisblatt-Anpassung-01.05.2023.pdf" TargetMode="External"/><Relationship Id="rId1" Type="http://schemas.openxmlformats.org/officeDocument/2006/relationships/hyperlink" Target="https://www.geothermie-graefelfing.de/sites/default/files/2023-03/Vorvertrag%20-%20Anlage%202%20-%20Preisblatt.pdf" TargetMode="External"/><Relationship Id="rId6" Type="http://schemas.openxmlformats.org/officeDocument/2006/relationships/drawing" Target="../drawings/drawing3.xml"/><Relationship Id="rId5" Type="http://schemas.openxmlformats.org/officeDocument/2006/relationships/printerSettings" Target="../printerSettings/printerSettings5.bin"/><Relationship Id="rId4" Type="http://schemas.openxmlformats.org/officeDocument/2006/relationships/hyperlink" Target="https://iep-pullach.de/wp-content/uploads/2023/05/202305_Anlage-2_Preisblatt-2022-2023-Vertragsabschluss-ab-2016.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geothermie-graefelfing.de/sites/default/files/2023-03/Vorvertrag%20-%20Anlage%202%20-%20Preisblatt.pdf" TargetMode="External"/><Relationship Id="rId3" Type="http://schemas.openxmlformats.org/officeDocument/2006/relationships/hyperlink" Target="https://www.oekofen.com/de-de/aktueller-pelletspreis/" TargetMode="External"/><Relationship Id="rId7" Type="http://schemas.openxmlformats.org/officeDocument/2006/relationships/hyperlink" Target="https://www.ewi.uni-koeln.de/de/aktuelles/esys/" TargetMode="External"/><Relationship Id="rId12" Type="http://schemas.openxmlformats.org/officeDocument/2006/relationships/comments" Target="../comments5.xml"/><Relationship Id="rId2" Type="http://schemas.openxmlformats.org/officeDocument/2006/relationships/hyperlink" Target="https://www.heizoel24.de/heizoel/angebotsliste?zipCode=82166&amp;amount=3000&amp;stations=1&amp;product=1&amp;options=5,24,-2,11,9&amp;cn=0&amp;ap=0" TargetMode="External"/><Relationship Id="rId1" Type="http://schemas.openxmlformats.org/officeDocument/2006/relationships/hyperlink" Target="https://www.heizungsfinder.de/heizung/heizkosten/co2-steuer" TargetMode="External"/><Relationship Id="rId6" Type="http://schemas.openxmlformats.org/officeDocument/2006/relationships/hyperlink" Target="https://www.zfk.de/politik/deutschland/strompreis-prognose-2042-habeck-ministerium" TargetMode="External"/><Relationship Id="rId11" Type="http://schemas.openxmlformats.org/officeDocument/2006/relationships/vmlDrawing" Target="../drawings/vmlDrawing5.vml"/><Relationship Id="rId5" Type="http://schemas.openxmlformats.org/officeDocument/2006/relationships/hyperlink" Target="https://www.zfk.de/politik/deutschland/strompreis-prognose-2042-habeck-ministerium" TargetMode="External"/><Relationship Id="rId10" Type="http://schemas.openxmlformats.org/officeDocument/2006/relationships/printerSettings" Target="../printerSettings/printerSettings6.bin"/><Relationship Id="rId4" Type="http://schemas.openxmlformats.org/officeDocument/2006/relationships/hyperlink" Target="https://www.verivox.de/?etcc_grp=1&amp;etcc_par=bing&amp;etcc_mty=e&amp;etcc_key=www.verivox.&amp;etcc_bde=c&amp;etcc_var=83d670547947137f0a5e1480a879d4f1&amp;msclkid=83d670547947137f0a5e1480a879d4f1&amp;utm_source=bing&amp;utm_medium=cpc&amp;utm_campaign=%5Ba%3ABrand%5D%5Bn%3ASearch%5D%5Bc%3AVerivox%5D&amp;utm_term=www.verivox.&amp;utm_content=Verivox" TargetMode="External"/><Relationship Id="rId9" Type="http://schemas.openxmlformats.org/officeDocument/2006/relationships/hyperlink" Target="https://www.geothermie-graefelfing.de/sites/default/files/2023-03/Vorvertrag%20-%20Anlage%202%20-%20Preisblatt.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86DBC-FA01-4AC1-BC0B-AD34A9226C8B}">
  <dimension ref="A1:AJ27"/>
  <sheetViews>
    <sheetView tabSelected="1" view="pageBreakPreview" zoomScale="60" zoomScaleNormal="87" zoomScalePageLayoutView="50" workbookViewId="0">
      <selection activeCell="J8" sqref="J8"/>
    </sheetView>
  </sheetViews>
  <sheetFormatPr baseColWidth="10" defaultRowHeight="14.5" x14ac:dyDescent="0.35"/>
  <cols>
    <col min="1" max="1" width="38.1796875" style="10" bestFit="1" customWidth="1"/>
    <col min="2" max="2" width="11.1796875" style="10" hidden="1" customWidth="1"/>
    <col min="3" max="3" width="11.453125" style="10" hidden="1" customWidth="1"/>
    <col min="4" max="4" width="16.36328125" style="10" hidden="1" customWidth="1"/>
    <col min="5" max="5" width="14.26953125" style="10" customWidth="1"/>
    <col min="6" max="6" width="13.08984375" style="10" customWidth="1"/>
    <col min="7" max="7" width="12" style="10" customWidth="1"/>
    <col min="8" max="8" width="7.26953125" style="10" customWidth="1"/>
    <col min="9" max="9" width="8.26953125" style="10" customWidth="1"/>
    <col min="10" max="10" width="11.54296875" style="10" customWidth="1"/>
    <col min="11" max="11" width="9.26953125" style="54" customWidth="1"/>
    <col min="12" max="12" width="8.453125" style="10" customWidth="1"/>
    <col min="13" max="13" width="9" style="12" customWidth="1"/>
    <col min="14" max="14" width="10.54296875" style="12" customWidth="1"/>
    <col min="15" max="15" width="10.26953125" style="10" customWidth="1"/>
    <col min="16" max="16" width="8.90625" style="10" customWidth="1"/>
    <col min="17" max="17" width="9.453125" style="10" customWidth="1"/>
    <col min="18" max="18" width="2.81640625" style="10" customWidth="1"/>
    <col min="22" max="16384" width="10.90625" style="10"/>
  </cols>
  <sheetData>
    <row r="1" spans="1:36" x14ac:dyDescent="0.35">
      <c r="A1" s="10" t="s">
        <v>183</v>
      </c>
    </row>
    <row r="3" spans="1:36" ht="14.5" customHeight="1" x14ac:dyDescent="0.35">
      <c r="A3" s="105" t="s">
        <v>43</v>
      </c>
      <c r="B3" s="106" t="s">
        <v>112</v>
      </c>
      <c r="C3" s="107"/>
      <c r="D3" s="108"/>
      <c r="E3" s="103" t="s">
        <v>67</v>
      </c>
      <c r="F3" s="103"/>
      <c r="G3" s="103"/>
      <c r="H3" s="103"/>
      <c r="I3" s="103"/>
      <c r="J3" s="109" t="s">
        <v>181</v>
      </c>
      <c r="K3" s="109"/>
      <c r="L3" s="109"/>
      <c r="M3" s="109"/>
      <c r="N3" s="109"/>
      <c r="O3" s="104" t="s">
        <v>182</v>
      </c>
      <c r="P3" s="103" t="s">
        <v>68</v>
      </c>
      <c r="Q3" s="103"/>
    </row>
    <row r="4" spans="1:36" ht="79" customHeight="1" x14ac:dyDescent="0.35">
      <c r="A4" s="105"/>
      <c r="B4" s="45" t="s">
        <v>114</v>
      </c>
      <c r="C4" s="45" t="s">
        <v>113</v>
      </c>
      <c r="D4" s="45" t="s">
        <v>177</v>
      </c>
      <c r="E4" s="24" t="s">
        <v>176</v>
      </c>
      <c r="F4" s="41" t="s">
        <v>158</v>
      </c>
      <c r="G4" s="24" t="s">
        <v>115</v>
      </c>
      <c r="H4" s="24" t="s">
        <v>178</v>
      </c>
      <c r="I4" s="42" t="s">
        <v>179</v>
      </c>
      <c r="J4" s="61" t="s">
        <v>180</v>
      </c>
      <c r="K4" s="42" t="s">
        <v>117</v>
      </c>
      <c r="L4" s="43" t="s">
        <v>118</v>
      </c>
      <c r="M4" s="24" t="s">
        <v>119</v>
      </c>
      <c r="N4" s="24" t="s">
        <v>109</v>
      </c>
      <c r="O4" s="104"/>
      <c r="P4" s="103" t="s">
        <v>174</v>
      </c>
      <c r="Q4" s="104" t="s">
        <v>71</v>
      </c>
    </row>
    <row r="5" spans="1:36" ht="29" x14ac:dyDescent="0.35">
      <c r="A5" s="44"/>
      <c r="B5" s="46"/>
      <c r="C5" s="46"/>
      <c r="D5" s="46"/>
      <c r="E5" s="24" t="s">
        <v>63</v>
      </c>
      <c r="F5" s="24" t="s">
        <v>63</v>
      </c>
      <c r="G5" s="24"/>
      <c r="H5" s="24" t="s">
        <v>116</v>
      </c>
      <c r="I5" s="42" t="s">
        <v>64</v>
      </c>
      <c r="J5" s="42" t="s">
        <v>134</v>
      </c>
      <c r="K5" s="42" t="s">
        <v>65</v>
      </c>
      <c r="L5" s="43" t="s">
        <v>66</v>
      </c>
      <c r="M5" s="24" t="s">
        <v>64</v>
      </c>
      <c r="N5" s="24" t="s">
        <v>64</v>
      </c>
      <c r="O5" s="85" t="s">
        <v>64</v>
      </c>
      <c r="P5" s="103"/>
      <c r="Q5" s="104"/>
    </row>
    <row r="6" spans="1:36" ht="10" customHeight="1" x14ac:dyDescent="0.35">
      <c r="A6" s="21"/>
      <c r="B6" s="47"/>
      <c r="C6" s="48"/>
      <c r="D6" s="49"/>
      <c r="E6" s="13"/>
      <c r="F6" s="50"/>
      <c r="G6" s="13"/>
      <c r="H6" s="13"/>
      <c r="I6" s="13"/>
      <c r="J6" s="50"/>
      <c r="L6" s="12"/>
      <c r="M6" s="13"/>
      <c r="N6" s="13"/>
      <c r="O6" s="13"/>
      <c r="P6" s="53"/>
      <c r="Q6" s="54"/>
      <c r="AH6" s="13"/>
      <c r="AI6" s="13"/>
      <c r="AJ6" s="13"/>
    </row>
    <row r="7" spans="1:36" ht="14.5" customHeight="1" x14ac:dyDescent="0.35">
      <c r="A7" s="81" t="s">
        <v>77</v>
      </c>
      <c r="B7" s="51"/>
      <c r="C7" s="51"/>
      <c r="D7" s="51"/>
      <c r="E7" s="51" t="s">
        <v>164</v>
      </c>
      <c r="F7" s="51" t="s">
        <v>165</v>
      </c>
      <c r="G7" s="51">
        <v>26</v>
      </c>
    </row>
    <row r="8" spans="1:36" ht="19" customHeight="1" x14ac:dyDescent="0.35">
      <c r="A8" s="81" t="s">
        <v>132</v>
      </c>
      <c r="B8" s="81"/>
      <c r="C8" s="51"/>
      <c r="D8" s="51"/>
      <c r="E8" s="51" t="s">
        <v>160</v>
      </c>
      <c r="F8" s="51" t="s">
        <v>161</v>
      </c>
      <c r="G8" s="51">
        <v>14</v>
      </c>
    </row>
    <row r="9" spans="1:36" ht="10" customHeight="1" x14ac:dyDescent="0.35">
      <c r="A9" s="21"/>
      <c r="B9" s="47"/>
      <c r="C9" s="48"/>
      <c r="D9" s="49"/>
      <c r="E9" s="13"/>
      <c r="F9" s="50"/>
      <c r="G9" s="13"/>
      <c r="H9" s="13"/>
      <c r="I9" s="13"/>
      <c r="J9" s="50"/>
      <c r="L9" s="12"/>
      <c r="M9" s="13"/>
      <c r="N9" s="13"/>
      <c r="O9" s="13"/>
      <c r="P9" s="53"/>
      <c r="Q9" s="54"/>
      <c r="AH9" s="13"/>
      <c r="AI9" s="13"/>
      <c r="AJ9" s="13"/>
    </row>
    <row r="10" spans="1:36" ht="14.5" customHeight="1" x14ac:dyDescent="0.35">
      <c r="A10" t="s">
        <v>130</v>
      </c>
      <c r="B10" s="18" t="s">
        <v>2</v>
      </c>
      <c r="C10" s="55" t="s">
        <v>3</v>
      </c>
      <c r="D10" s="18" t="str">
        <f>'Anschaffung und Förderung BEG'!D$4</f>
        <v>8.750 - 11.250 €</v>
      </c>
      <c r="E10" s="18">
        <v>11000</v>
      </c>
      <c r="F10" s="14"/>
      <c r="G10" s="18">
        <f>E10*(1-F10)</f>
        <v>11000</v>
      </c>
      <c r="H10" s="18">
        <v>20</v>
      </c>
      <c r="I10" s="18">
        <f t="shared" ref="I10:I15" si="0">G10/H10</f>
        <v>550</v>
      </c>
      <c r="J10" s="19">
        <v>0.95</v>
      </c>
      <c r="K10" s="62">
        <f t="shared" ref="K10:K15" si="1">G$7*1000/J10</f>
        <v>27368.42105263158</v>
      </c>
      <c r="L10" s="17">
        <f>Preisentwicklung!$B$5</f>
        <v>10</v>
      </c>
      <c r="M10" s="18">
        <f>(100+K10*L10)/100</f>
        <v>2737.8421052631579</v>
      </c>
      <c r="N10" s="18">
        <v>250</v>
      </c>
      <c r="O10" s="22">
        <f t="shared" ref="O10:O15" si="2">M10+I10+N10</f>
        <v>3537.8421052631579</v>
      </c>
      <c r="P10" s="20">
        <v>0.28000000000000003</v>
      </c>
      <c r="Q10" s="22">
        <f>K10*P10</f>
        <v>7663.1578947368434</v>
      </c>
    </row>
    <row r="11" spans="1:36" x14ac:dyDescent="0.35">
      <c r="A11" t="s">
        <v>131</v>
      </c>
      <c r="B11" s="18" t="s">
        <v>6</v>
      </c>
      <c r="C11" s="55" t="s">
        <v>7</v>
      </c>
      <c r="D11" s="18" t="str">
        <f>'Anschaffung und Förderung BEG'!D$5</f>
        <v>7.500 - 12.500 €</v>
      </c>
      <c r="E11" s="18">
        <v>11000</v>
      </c>
      <c r="F11" s="14"/>
      <c r="G11" s="18">
        <f>E11*(1-F11)</f>
        <v>11000</v>
      </c>
      <c r="H11" s="18">
        <v>20</v>
      </c>
      <c r="I11" s="18">
        <f t="shared" si="0"/>
        <v>550</v>
      </c>
      <c r="J11" s="19">
        <v>0.95</v>
      </c>
      <c r="K11" s="62">
        <f t="shared" si="1"/>
        <v>27368.42105263158</v>
      </c>
      <c r="L11" s="17">
        <f>Preisentwicklung!$B$6</f>
        <v>12</v>
      </c>
      <c r="M11" s="18">
        <f>(100+K11*L11)/100</f>
        <v>3285.21052631579</v>
      </c>
      <c r="N11" s="18">
        <v>240</v>
      </c>
      <c r="O11" s="22">
        <f t="shared" si="2"/>
        <v>4075.21052631579</v>
      </c>
      <c r="P11" s="20">
        <v>0.20200000000000001</v>
      </c>
      <c r="Q11" s="22">
        <f>K11*P11</f>
        <v>5528.4210526315792</v>
      </c>
    </row>
    <row r="12" spans="1:36" x14ac:dyDescent="0.35">
      <c r="A12" t="s">
        <v>128</v>
      </c>
      <c r="B12" s="18" t="s">
        <v>10</v>
      </c>
      <c r="C12" s="55" t="s">
        <v>11</v>
      </c>
      <c r="D12" s="18" t="str">
        <f>'Anschaffung und Förderung BEG'!D$6</f>
        <v>21.000 - 31.000 €</v>
      </c>
      <c r="E12" s="18">
        <v>26000</v>
      </c>
      <c r="F12" s="19">
        <v>0.1</v>
      </c>
      <c r="G12" s="18">
        <f>E12*(1-F12)</f>
        <v>23400</v>
      </c>
      <c r="H12" s="18">
        <v>20</v>
      </c>
      <c r="I12" s="18">
        <f t="shared" si="0"/>
        <v>1170</v>
      </c>
      <c r="J12" s="19">
        <v>0.95</v>
      </c>
      <c r="K12" s="62">
        <f t="shared" si="1"/>
        <v>27368.42105263158</v>
      </c>
      <c r="L12" s="17">
        <f>Preisentwicklung!$B$7</f>
        <v>8.5416666666666679</v>
      </c>
      <c r="M12" s="18">
        <f>(100+K12*L12)/100</f>
        <v>2338.7192982456145</v>
      </c>
      <c r="N12" s="18">
        <v>400</v>
      </c>
      <c r="O12" s="22">
        <f t="shared" si="2"/>
        <v>3908.7192982456145</v>
      </c>
      <c r="P12" s="20">
        <v>0.40300000000000002</v>
      </c>
      <c r="Q12" s="22">
        <f>K12*P12</f>
        <v>11029.473684210527</v>
      </c>
      <c r="AI12" s="13"/>
      <c r="AJ12" s="13"/>
    </row>
    <row r="13" spans="1:36" x14ac:dyDescent="0.35">
      <c r="A13" s="10" t="s">
        <v>129</v>
      </c>
      <c r="B13" s="18" t="s">
        <v>10</v>
      </c>
      <c r="C13" s="55" t="s">
        <v>11</v>
      </c>
      <c r="D13" s="18" t="str">
        <f>'Anschaffung und Förderung BEG'!D$6</f>
        <v>21.000 - 31.000 €</v>
      </c>
      <c r="E13" s="18">
        <v>26000</v>
      </c>
      <c r="F13" s="19">
        <v>0.1</v>
      </c>
      <c r="G13" s="18">
        <f>E13*(1-F13)</f>
        <v>23400</v>
      </c>
      <c r="H13" s="18">
        <v>20</v>
      </c>
      <c r="I13" s="18">
        <f t="shared" si="0"/>
        <v>1170</v>
      </c>
      <c r="J13" s="19">
        <v>0.95</v>
      </c>
      <c r="K13" s="62">
        <f t="shared" si="1"/>
        <v>27368.42105263158</v>
      </c>
      <c r="L13" s="17">
        <f>Preisentwicklung!$B$7</f>
        <v>8.5416666666666679</v>
      </c>
      <c r="M13" s="18">
        <f>(100+K13*L13)/100</f>
        <v>2338.7192982456145</v>
      </c>
      <c r="N13" s="18">
        <v>400</v>
      </c>
      <c r="O13" s="22">
        <f t="shared" si="2"/>
        <v>3908.7192982456145</v>
      </c>
      <c r="P13" s="20">
        <v>2.1999999999999999E-2</v>
      </c>
      <c r="Q13" s="22">
        <f>K13*P13</f>
        <v>602.10526315789468</v>
      </c>
    </row>
    <row r="14" spans="1:36" x14ac:dyDescent="0.35">
      <c r="A14" t="s">
        <v>70</v>
      </c>
      <c r="B14" s="18" t="s">
        <v>20</v>
      </c>
      <c r="C14" s="55" t="s">
        <v>21</v>
      </c>
      <c r="D14" s="18" t="str">
        <f>'Anschaffung und Förderung BEG'!D$9</f>
        <v>18.750 - 37.500 €</v>
      </c>
      <c r="E14" s="18">
        <v>22000</v>
      </c>
      <c r="F14" s="19">
        <v>0.5</v>
      </c>
      <c r="G14" s="18">
        <f>E14*(1-F14)</f>
        <v>11000</v>
      </c>
      <c r="H14" s="18">
        <v>20</v>
      </c>
      <c r="I14" s="18">
        <f t="shared" si="0"/>
        <v>550</v>
      </c>
      <c r="J14" s="19">
        <v>2.5</v>
      </c>
      <c r="K14" s="62">
        <f t="shared" si="1"/>
        <v>10400</v>
      </c>
      <c r="L14" s="17">
        <f>Preisentwicklung!$B$8</f>
        <v>35</v>
      </c>
      <c r="M14" s="18">
        <f>(100+K14*L14)/100</f>
        <v>3641</v>
      </c>
      <c r="N14" s="18">
        <v>130</v>
      </c>
      <c r="O14" s="22">
        <f t="shared" si="2"/>
        <v>4321</v>
      </c>
      <c r="P14" s="20">
        <f>0.42/3</f>
        <v>0.13999999999999999</v>
      </c>
      <c r="Q14" s="22">
        <f>K14*P14*J14</f>
        <v>3639.9999999999995</v>
      </c>
      <c r="AH14" s="13"/>
      <c r="AI14" s="13"/>
      <c r="AJ14" s="13"/>
    </row>
    <row r="15" spans="1:36" x14ac:dyDescent="0.35">
      <c r="A15" t="s">
        <v>184</v>
      </c>
      <c r="B15" s="18"/>
      <c r="C15" s="56">
        <v>0</v>
      </c>
      <c r="D15" s="14"/>
      <c r="E15" s="18">
        <f>17120-1605+3000</f>
        <v>18515</v>
      </c>
      <c r="F15" s="19">
        <v>0.3</v>
      </c>
      <c r="G15" s="18">
        <f>E15*(1-F15)-2500</f>
        <v>10460.5</v>
      </c>
      <c r="H15" s="18">
        <v>30</v>
      </c>
      <c r="I15" s="18">
        <f t="shared" si="0"/>
        <v>348.68333333333334</v>
      </c>
      <c r="J15" s="19">
        <v>1</v>
      </c>
      <c r="K15" s="62">
        <f t="shared" si="1"/>
        <v>26000</v>
      </c>
      <c r="L15" s="17">
        <f>Preisentwicklung!$B$9</f>
        <v>4.5</v>
      </c>
      <c r="M15" s="18">
        <f>IF(G8&gt;12,G8,12)*13.21*12+12*10.17+K15*L15/100</f>
        <v>3511.3199999999997</v>
      </c>
      <c r="N15" s="18">
        <v>0</v>
      </c>
      <c r="O15" s="22">
        <f t="shared" si="2"/>
        <v>3860.0033333333331</v>
      </c>
      <c r="P15" s="20">
        <v>8.5000000000000006E-2</v>
      </c>
      <c r="Q15" s="22">
        <f>K15*P15</f>
        <v>2210</v>
      </c>
      <c r="AH15" s="13"/>
      <c r="AI15" s="13"/>
      <c r="AJ15" s="13"/>
    </row>
    <row r="16" spans="1:36" ht="10" customHeight="1" x14ac:dyDescent="0.35">
      <c r="A16" s="21"/>
      <c r="B16" s="47"/>
      <c r="C16" s="48"/>
      <c r="D16" s="49"/>
      <c r="E16" s="13"/>
      <c r="F16" s="50"/>
      <c r="G16" s="13"/>
      <c r="H16" s="13"/>
      <c r="I16" s="13"/>
      <c r="J16" s="50"/>
      <c r="L16" s="12"/>
      <c r="M16" s="13"/>
      <c r="N16" s="13"/>
      <c r="O16" s="13"/>
      <c r="P16" s="53"/>
      <c r="Q16" s="54"/>
      <c r="AH16" s="13"/>
      <c r="AI16" s="13"/>
      <c r="AJ16" s="13"/>
    </row>
    <row r="17" spans="1:36" ht="16.5" customHeight="1" x14ac:dyDescent="0.35">
      <c r="A17" s="81" t="s">
        <v>105</v>
      </c>
      <c r="B17" s="51"/>
      <c r="C17" s="51"/>
      <c r="D17" s="51"/>
      <c r="E17" s="51" t="s">
        <v>162</v>
      </c>
      <c r="F17" s="51" t="s">
        <v>79</v>
      </c>
      <c r="G17" s="51">
        <v>12</v>
      </c>
      <c r="J17" s="50"/>
      <c r="L17" s="12"/>
      <c r="M17" s="13"/>
      <c r="N17" s="13"/>
      <c r="O17" s="13"/>
      <c r="P17" s="53"/>
      <c r="Q17" s="54"/>
      <c r="AH17" s="13"/>
      <c r="AI17" s="13"/>
      <c r="AJ17" s="13"/>
    </row>
    <row r="18" spans="1:36" ht="16.5" customHeight="1" x14ac:dyDescent="0.35">
      <c r="A18" s="81" t="s">
        <v>132</v>
      </c>
      <c r="B18" s="81"/>
      <c r="C18" s="83"/>
      <c r="D18" s="79"/>
      <c r="E18" s="78" t="s">
        <v>160</v>
      </c>
      <c r="F18" s="84" t="s">
        <v>161</v>
      </c>
      <c r="G18" s="51">
        <v>7</v>
      </c>
      <c r="J18" s="50"/>
      <c r="L18" s="12"/>
      <c r="M18" s="13"/>
      <c r="N18" s="13"/>
      <c r="O18" s="13"/>
      <c r="P18" s="53"/>
      <c r="Q18" s="54"/>
      <c r="AH18" s="13"/>
      <c r="AI18" s="13"/>
      <c r="AJ18" s="13"/>
    </row>
    <row r="19" spans="1:36" ht="16.5" customHeight="1" x14ac:dyDescent="0.35">
      <c r="A19" s="52"/>
      <c r="B19" s="47"/>
      <c r="C19" s="48"/>
      <c r="D19" s="49"/>
      <c r="E19" s="49"/>
      <c r="F19" s="49"/>
      <c r="G19" s="49"/>
      <c r="H19" s="49"/>
      <c r="I19" s="49"/>
      <c r="J19" s="49"/>
      <c r="L19" s="12"/>
      <c r="M19" s="13"/>
      <c r="N19" s="13"/>
      <c r="O19" s="13"/>
      <c r="P19" s="53"/>
      <c r="Q19" s="54"/>
      <c r="AH19" s="13"/>
      <c r="AI19" s="13"/>
      <c r="AJ19" s="13"/>
    </row>
    <row r="20" spans="1:36" x14ac:dyDescent="0.35">
      <c r="A20" t="str">
        <f t="shared" ref="A20:C23" si="3">A10</f>
        <v>Öl-Brennwertheizung</v>
      </c>
      <c r="B20" s="18" t="str">
        <f t="shared" si="3"/>
        <v>7,88 Cent</v>
      </c>
      <c r="C20" s="18" t="str">
        <f t="shared" si="3"/>
        <v>120 - 250 €</v>
      </c>
      <c r="D20" s="18" t="str">
        <f>'Anschaffung und Förderung BEG'!D$4</f>
        <v>8.750 - 11.250 €</v>
      </c>
      <c r="E20" s="18">
        <v>10000</v>
      </c>
      <c r="F20" s="14"/>
      <c r="G20" s="18">
        <f>E20*(1-F20)</f>
        <v>10000</v>
      </c>
      <c r="H20" s="18">
        <v>20</v>
      </c>
      <c r="I20" s="18">
        <f t="shared" ref="I20:I25" si="4">G20/H20</f>
        <v>500</v>
      </c>
      <c r="J20" s="19">
        <v>0.95</v>
      </c>
      <c r="K20" s="62">
        <f t="shared" ref="K20:K25" si="5">G$17*1000/J20</f>
        <v>12631.578947368422</v>
      </c>
      <c r="L20" s="17">
        <f>Preisentwicklung!$B$5</f>
        <v>10</v>
      </c>
      <c r="M20" s="18">
        <f>(100+K20*L20)/100</f>
        <v>1264.1578947368421</v>
      </c>
      <c r="N20" s="18">
        <f t="shared" ref="N20:N25" si="6">N10</f>
        <v>250</v>
      </c>
      <c r="O20" s="22">
        <f t="shared" ref="O20:O25" si="7">M20+I20+N20</f>
        <v>2014.1578947368421</v>
      </c>
      <c r="P20" s="23">
        <f t="shared" ref="P20:P25" si="8">P10</f>
        <v>0.28000000000000003</v>
      </c>
      <c r="Q20" s="22">
        <f>K20*P20</f>
        <v>3536.8421052631584</v>
      </c>
      <c r="AH20" s="13"/>
      <c r="AI20" s="13"/>
      <c r="AJ20" s="13"/>
    </row>
    <row r="21" spans="1:36" x14ac:dyDescent="0.35">
      <c r="A21" t="str">
        <f t="shared" si="3"/>
        <v>Gas-Brennwertheizung</v>
      </c>
      <c r="B21" s="18" t="str">
        <f t="shared" si="3"/>
        <v>9,463 Cent</v>
      </c>
      <c r="C21" s="18" t="str">
        <f t="shared" si="3"/>
        <v>100 - 200 €</v>
      </c>
      <c r="D21" s="18" t="str">
        <f>'Anschaffung und Förderung BEG'!D$5</f>
        <v>7.500 - 12.500 €</v>
      </c>
      <c r="E21" s="18">
        <v>9000</v>
      </c>
      <c r="F21" s="14"/>
      <c r="G21" s="18">
        <f>E21*(1-F21)</f>
        <v>9000</v>
      </c>
      <c r="H21" s="18">
        <v>20</v>
      </c>
      <c r="I21" s="18">
        <f t="shared" si="4"/>
        <v>450</v>
      </c>
      <c r="J21" s="19">
        <v>0.95</v>
      </c>
      <c r="K21" s="62">
        <f t="shared" si="5"/>
        <v>12631.578947368422</v>
      </c>
      <c r="L21" s="17">
        <f>Preisentwicklung!$B$6</f>
        <v>12</v>
      </c>
      <c r="M21" s="18">
        <f>(100+K21*L21)/100</f>
        <v>1516.7894736842106</v>
      </c>
      <c r="N21" s="18">
        <f t="shared" si="6"/>
        <v>240</v>
      </c>
      <c r="O21" s="22">
        <f t="shared" si="7"/>
        <v>2206.7894736842109</v>
      </c>
      <c r="P21" s="23">
        <f t="shared" si="8"/>
        <v>0.20200000000000001</v>
      </c>
      <c r="Q21" s="22">
        <f>K21*P21</f>
        <v>2551.5789473684213</v>
      </c>
    </row>
    <row r="22" spans="1:36" x14ac:dyDescent="0.35">
      <c r="A22" t="str">
        <f t="shared" si="3"/>
        <v>Pelletheizung  mit Ansatz Holzbrand (WWF)</v>
      </c>
      <c r="B22" s="18" t="str">
        <f t="shared" si="3"/>
        <v>5,58 Cent</v>
      </c>
      <c r="C22" s="18" t="str">
        <f t="shared" si="3"/>
        <v>300 €</v>
      </c>
      <c r="D22" s="18" t="str">
        <f>'Anschaffung und Förderung BEG'!D$6</f>
        <v>21.000 - 31.000 €</v>
      </c>
      <c r="E22" s="18">
        <v>23000</v>
      </c>
      <c r="F22" s="19">
        <v>0.1</v>
      </c>
      <c r="G22" s="18">
        <f>E22*(1-F22)</f>
        <v>20700</v>
      </c>
      <c r="H22" s="18">
        <v>20</v>
      </c>
      <c r="I22" s="18">
        <f t="shared" si="4"/>
        <v>1035</v>
      </c>
      <c r="J22" s="19">
        <v>0.95</v>
      </c>
      <c r="K22" s="62">
        <f t="shared" si="5"/>
        <v>12631.578947368422</v>
      </c>
      <c r="L22" s="17">
        <f>Preisentwicklung!$B$7</f>
        <v>8.5416666666666679</v>
      </c>
      <c r="M22" s="18">
        <f>(100+K22*L22)/100</f>
        <v>1079.9473684210527</v>
      </c>
      <c r="N22" s="18">
        <f t="shared" si="6"/>
        <v>400</v>
      </c>
      <c r="O22" s="22">
        <f t="shared" si="7"/>
        <v>2514.9473684210525</v>
      </c>
      <c r="P22" s="23">
        <f t="shared" si="8"/>
        <v>0.40300000000000002</v>
      </c>
      <c r="Q22" s="22">
        <f>K22*P22</f>
        <v>5090.5263157894742</v>
      </c>
    </row>
    <row r="23" spans="1:36" x14ac:dyDescent="0.35">
      <c r="A23" t="str">
        <f t="shared" si="3"/>
        <v>Pelletheizung ohne Ansatz Holzbrand (DEPV)</v>
      </c>
      <c r="B23" s="18" t="str">
        <f t="shared" si="3"/>
        <v>5,58 Cent</v>
      </c>
      <c r="C23" s="18" t="str">
        <f t="shared" si="3"/>
        <v>300 €</v>
      </c>
      <c r="D23" s="18" t="str">
        <f>'Anschaffung und Förderung BEG'!D$6</f>
        <v>21.000 - 31.000 €</v>
      </c>
      <c r="E23" s="18">
        <v>23000</v>
      </c>
      <c r="F23" s="19">
        <v>0.1</v>
      </c>
      <c r="G23" s="18">
        <f>E23*(1-F23)</f>
        <v>20700</v>
      </c>
      <c r="H23" s="18">
        <v>20</v>
      </c>
      <c r="I23" s="18">
        <f t="shared" si="4"/>
        <v>1035</v>
      </c>
      <c r="J23" s="19">
        <v>0.95</v>
      </c>
      <c r="K23" s="62">
        <f t="shared" si="5"/>
        <v>12631.578947368422</v>
      </c>
      <c r="L23" s="17">
        <f>Preisentwicklung!$B$7</f>
        <v>8.5416666666666679</v>
      </c>
      <c r="M23" s="18">
        <f>(100+K23*L23)/100</f>
        <v>1079.9473684210527</v>
      </c>
      <c r="N23" s="18">
        <f t="shared" si="6"/>
        <v>400</v>
      </c>
      <c r="O23" s="22">
        <f t="shared" si="7"/>
        <v>2514.9473684210525</v>
      </c>
      <c r="P23" s="23">
        <f t="shared" si="8"/>
        <v>2.1999999999999999E-2</v>
      </c>
      <c r="Q23" s="22">
        <f>K23*P23</f>
        <v>277.89473684210526</v>
      </c>
    </row>
    <row r="24" spans="1:36" x14ac:dyDescent="0.35">
      <c r="A24" t="s">
        <v>69</v>
      </c>
      <c r="B24" s="18" t="str">
        <f>B14</f>
        <v>27,52 Cent*</v>
      </c>
      <c r="C24" s="18" t="str">
        <f>C14</f>
        <v>100 €</v>
      </c>
      <c r="D24" s="18" t="str">
        <f>'Anschaffung und Förderung BEG'!D$9</f>
        <v>18.750 - 37.500 €</v>
      </c>
      <c r="E24" s="18">
        <v>20000</v>
      </c>
      <c r="F24" s="19">
        <v>0.5</v>
      </c>
      <c r="G24" s="18">
        <f>E24*(1-F24)</f>
        <v>10000</v>
      </c>
      <c r="H24" s="18">
        <v>20</v>
      </c>
      <c r="I24" s="18">
        <f t="shared" si="4"/>
        <v>500</v>
      </c>
      <c r="J24" s="19">
        <v>3</v>
      </c>
      <c r="K24" s="62">
        <f t="shared" si="5"/>
        <v>4000</v>
      </c>
      <c r="L24" s="17">
        <f>Preisentwicklung!$B$8</f>
        <v>35</v>
      </c>
      <c r="M24" s="18">
        <f>(100+K24*L24)/100</f>
        <v>1401</v>
      </c>
      <c r="N24" s="18">
        <f t="shared" si="6"/>
        <v>130</v>
      </c>
      <c r="O24" s="22">
        <f t="shared" si="7"/>
        <v>2031</v>
      </c>
      <c r="P24" s="23">
        <f t="shared" si="8"/>
        <v>0.13999999999999999</v>
      </c>
      <c r="Q24" s="22">
        <f>K24*P24*J24</f>
        <v>1679.9999999999995</v>
      </c>
    </row>
    <row r="25" spans="1:36" x14ac:dyDescent="0.35">
      <c r="A25" t="s">
        <v>184</v>
      </c>
      <c r="B25" s="18">
        <f>B15</f>
        <v>0</v>
      </c>
      <c r="C25" s="18">
        <f>C15</f>
        <v>0</v>
      </c>
      <c r="D25" s="14"/>
      <c r="E25" s="18">
        <f>17120-1605+3000</f>
        <v>18515</v>
      </c>
      <c r="F25" s="19">
        <v>0.3</v>
      </c>
      <c r="G25" s="18">
        <f>E25*(1-F25)-2500</f>
        <v>10460.5</v>
      </c>
      <c r="H25" s="18">
        <v>30</v>
      </c>
      <c r="I25" s="18">
        <f t="shared" si="4"/>
        <v>348.68333333333334</v>
      </c>
      <c r="J25" s="19">
        <v>1</v>
      </c>
      <c r="K25" s="62">
        <f t="shared" si="5"/>
        <v>12000</v>
      </c>
      <c r="L25" s="17">
        <f>Preisentwicklung!$B$9</f>
        <v>4.5</v>
      </c>
      <c r="M25" s="18">
        <f>IF(G18&gt;12,G18,12)*13.21*12+12*10.17+K25*L25/100</f>
        <v>2564.2800000000002</v>
      </c>
      <c r="N25" s="18">
        <f t="shared" si="6"/>
        <v>0</v>
      </c>
      <c r="O25" s="22">
        <f t="shared" si="7"/>
        <v>2912.9633333333336</v>
      </c>
      <c r="P25" s="23">
        <f t="shared" si="8"/>
        <v>8.5000000000000006E-2</v>
      </c>
      <c r="Q25" s="22">
        <f>K25*P25</f>
        <v>1020.0000000000001</v>
      </c>
    </row>
    <row r="26" spans="1:36" ht="16" customHeight="1" x14ac:dyDescent="0.35">
      <c r="A26"/>
      <c r="B26" s="13"/>
      <c r="C26" s="13"/>
      <c r="D26" s="13"/>
      <c r="E26" s="13"/>
      <c r="F26" s="50"/>
      <c r="G26" s="13"/>
      <c r="H26" s="13"/>
      <c r="I26" s="13"/>
      <c r="J26" s="50"/>
      <c r="L26" s="12"/>
      <c r="M26" s="13"/>
      <c r="N26" s="13"/>
      <c r="O26" s="13"/>
      <c r="P26" s="13"/>
      <c r="Q26" s="13"/>
    </row>
    <row r="27" spans="1:36" ht="36.5" customHeight="1" x14ac:dyDescent="0.35">
      <c r="B27" s="10" t="s">
        <v>135</v>
      </c>
      <c r="C27" s="102" t="s">
        <v>185</v>
      </c>
      <c r="D27" s="102"/>
      <c r="E27" s="102"/>
      <c r="F27" s="102"/>
      <c r="G27" s="102"/>
      <c r="H27" s="102"/>
      <c r="I27" s="102"/>
      <c r="J27" s="102"/>
      <c r="K27" s="102"/>
      <c r="L27" s="102"/>
      <c r="M27" s="102"/>
    </row>
  </sheetData>
  <mergeCells count="9">
    <mergeCell ref="C27:M27"/>
    <mergeCell ref="P4:P5"/>
    <mergeCell ref="Q4:Q5"/>
    <mergeCell ref="A3:A4"/>
    <mergeCell ref="B3:D3"/>
    <mergeCell ref="P3:Q3"/>
    <mergeCell ref="E3:I3"/>
    <mergeCell ref="O3:O4"/>
    <mergeCell ref="J3:N3"/>
  </mergeCells>
  <hyperlinks>
    <hyperlink ref="F4" r:id="rId1" display="BAFA-Förderung (ohne Heizungstausch-Bonus von 10%)" xr:uid="{320D6EA1-A7DB-4D87-A344-51A610627F10}"/>
    <hyperlink ref="P15" r:id="rId2" display="https://www.ingenieur.de/technik/fachbereiche/energie/geothermie-unerschoepflich-unerschlossen/" xr:uid="{60C01C0E-B58E-4BCA-9CEB-BB017998DB08}"/>
    <hyperlink ref="P14" r:id="rId3" display="https://de.statista.com/statistik/daten/studie/38897/umfrage/co2-emissionsfaktor-fuer-den-strommix-in-deutschland-seit-1990/" xr:uid="{4C57FC12-D491-4F34-8E61-6CC5CABBA28C}"/>
    <hyperlink ref="P12" r:id="rId4" display="https://www.wwf.de/themen-projekte/waelder/wald-und-klima/wie-holzverbrennung-den-klimawandel-befeuert?gclid=Cj0KCQjwwvilBhCFARIsADvYi7Jm13bBdZtEW7tSH7AV7yGEFE62dEo1jucth1FAe5kCL4bnvBagx3EaAgpZEALw_wcB" xr:uid="{0311C363-D630-4B87-B91B-B9825B871F74}"/>
    <hyperlink ref="P11" r:id="rId5" display="https://www.thermondo.de/info/rat/vergleich/co2-steuer-heizen/" xr:uid="{C637AEC5-E89D-4B81-B58B-EC077C0322C8}"/>
    <hyperlink ref="P10" r:id="rId6" display="https://www.thermondo.de/info/rat/vergleich/co2-steuer-heizen/" xr:uid="{C71E2139-41C0-490B-B19F-9AE5EAD9FBB0}"/>
    <hyperlink ref="P13" r:id="rId7" display="https://depv.de/p/Bessere-CO2-Bilanz-mit-Holzpellets-pWuQQ4VvuNQoYjUzRf778Z" xr:uid="{88489CD3-1848-4B1F-9493-8CEB08D967AF}"/>
    <hyperlink ref="J4" r:id="rId8" display="Energieeffizienz" xr:uid="{B40BAA00-2A5A-4CF7-9D54-53572BF36556}"/>
    <hyperlink ref="C27:G27" r:id="rId9" location=":~:text=Standardpufferspeicher%20sind%20je%20nach%20Gr%C3%B6%C3%9Fe,zwischen%204.800%20und%205.500%20Euro." display="Kosten für Anschluss der Übergabestation an das bestehende Heizsystem inkl. Neuem Pufferspeicher und Einbau" xr:uid="{C63B2563-A8E9-4B69-9269-33C495C0E973}"/>
  </hyperlinks>
  <pageMargins left="0.7" right="0.7" top="0.78740157499999996" bottom="0.78740157499999996" header="0.3" footer="0.3"/>
  <pageSetup paperSize="9" scale="90" orientation="landscape" horizontalDpi="4294967293" r:id="rId10"/>
  <legacyDrawing r:id="rId1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12209-0B9F-4916-B4CF-CE2BC06912F9}">
  <dimension ref="A1:U27"/>
  <sheetViews>
    <sheetView view="pageBreakPreview" zoomScale="60" zoomScaleNormal="100" zoomScalePageLayoutView="60" workbookViewId="0">
      <selection activeCell="P27" sqref="P27"/>
    </sheetView>
  </sheetViews>
  <sheetFormatPr baseColWidth="10" defaultRowHeight="14.5" x14ac:dyDescent="0.35"/>
  <cols>
    <col min="1" max="1" width="37.26953125" style="10" customWidth="1"/>
    <col min="2" max="2" width="12.453125" style="10" hidden="1" customWidth="1"/>
    <col min="3" max="3" width="11.453125" style="10" hidden="1" customWidth="1"/>
    <col min="4" max="4" width="16.36328125" style="10" hidden="1" customWidth="1"/>
    <col min="5" max="5" width="14.26953125" style="10" customWidth="1"/>
    <col min="6" max="6" width="14" style="10" customWidth="1"/>
    <col min="7" max="7" width="12" style="10" customWidth="1"/>
    <col min="8" max="8" width="6.81640625" style="10" customWidth="1"/>
    <col min="9" max="9" width="8.90625" style="10" customWidth="1"/>
    <col min="10" max="10" width="11.6328125" style="10" customWidth="1"/>
    <col min="11" max="11" width="9.26953125" style="54" customWidth="1"/>
    <col min="12" max="12" width="9" style="10" customWidth="1"/>
    <col min="13" max="13" width="9.26953125" style="12" customWidth="1"/>
    <col min="14" max="14" width="10.54296875" style="12" customWidth="1"/>
    <col min="15" max="15" width="11.81640625" style="10" customWidth="1"/>
    <col min="16" max="17" width="9.453125" style="10" customWidth="1"/>
    <col min="18" max="18" width="2.81640625" style="10" customWidth="1"/>
    <col min="22" max="16384" width="10.90625" style="10"/>
  </cols>
  <sheetData>
    <row r="1" spans="1:17" x14ac:dyDescent="0.35">
      <c r="A1" s="10" t="s">
        <v>183</v>
      </c>
    </row>
    <row r="3" spans="1:17" ht="14.5" customHeight="1" x14ac:dyDescent="0.35">
      <c r="A3" s="105" t="s">
        <v>43</v>
      </c>
      <c r="B3" s="106" t="s">
        <v>112</v>
      </c>
      <c r="C3" s="107"/>
      <c r="D3" s="108"/>
      <c r="E3" s="103" t="s">
        <v>67</v>
      </c>
      <c r="F3" s="103"/>
      <c r="G3" s="103"/>
      <c r="H3" s="103"/>
      <c r="I3" s="103"/>
      <c r="J3" s="109" t="s">
        <v>181</v>
      </c>
      <c r="K3" s="109"/>
      <c r="L3" s="109"/>
      <c r="M3" s="109"/>
      <c r="N3" s="109"/>
      <c r="O3" s="104" t="s">
        <v>182</v>
      </c>
      <c r="P3" s="103" t="s">
        <v>68</v>
      </c>
      <c r="Q3" s="103"/>
    </row>
    <row r="4" spans="1:17" ht="72.5" x14ac:dyDescent="0.35">
      <c r="A4" s="105"/>
      <c r="B4" s="45" t="s">
        <v>114</v>
      </c>
      <c r="C4" s="45" t="s">
        <v>113</v>
      </c>
      <c r="D4" s="45" t="s">
        <v>177</v>
      </c>
      <c r="E4" s="24" t="s">
        <v>176</v>
      </c>
      <c r="F4" s="41" t="s">
        <v>158</v>
      </c>
      <c r="G4" s="24" t="s">
        <v>115</v>
      </c>
      <c r="H4" s="24" t="s">
        <v>178</v>
      </c>
      <c r="I4" s="42" t="s">
        <v>179</v>
      </c>
      <c r="J4" s="61" t="s">
        <v>180</v>
      </c>
      <c r="K4" s="42" t="s">
        <v>117</v>
      </c>
      <c r="L4" s="43" t="s">
        <v>118</v>
      </c>
      <c r="M4" s="24" t="s">
        <v>119</v>
      </c>
      <c r="N4" s="24" t="s">
        <v>109</v>
      </c>
      <c r="O4" s="104"/>
      <c r="P4" s="103" t="s">
        <v>174</v>
      </c>
      <c r="Q4" s="104" t="s">
        <v>71</v>
      </c>
    </row>
    <row r="5" spans="1:17" ht="27.5" customHeight="1" x14ac:dyDescent="0.35">
      <c r="A5" s="44"/>
      <c r="B5" s="46"/>
      <c r="C5" s="46"/>
      <c r="D5" s="46"/>
      <c r="E5" s="24" t="s">
        <v>63</v>
      </c>
      <c r="F5" s="24" t="s">
        <v>63</v>
      </c>
      <c r="G5" s="24" t="s">
        <v>63</v>
      </c>
      <c r="H5" s="24" t="s">
        <v>116</v>
      </c>
      <c r="I5" s="42" t="s">
        <v>64</v>
      </c>
      <c r="J5" s="42" t="s">
        <v>134</v>
      </c>
      <c r="K5" s="42" t="s">
        <v>65</v>
      </c>
      <c r="L5" s="43" t="s">
        <v>66</v>
      </c>
      <c r="M5" s="24" t="s">
        <v>64</v>
      </c>
      <c r="N5" s="24" t="s">
        <v>64</v>
      </c>
      <c r="O5" s="85" t="s">
        <v>64</v>
      </c>
      <c r="P5" s="103"/>
      <c r="Q5" s="104"/>
    </row>
    <row r="6" spans="1:17" ht="16" customHeight="1" x14ac:dyDescent="0.35">
      <c r="A6"/>
      <c r="B6" s="13"/>
      <c r="C6" s="13"/>
      <c r="D6" s="13"/>
      <c r="E6" s="13"/>
      <c r="F6" s="50"/>
      <c r="G6" s="13"/>
      <c r="H6" s="13"/>
      <c r="I6" s="13"/>
      <c r="J6" s="50"/>
      <c r="L6" s="12"/>
      <c r="M6" s="13"/>
      <c r="N6" s="13"/>
      <c r="O6" s="13"/>
      <c r="P6" s="13"/>
      <c r="Q6" s="13"/>
    </row>
    <row r="7" spans="1:17" x14ac:dyDescent="0.35">
      <c r="A7" s="81" t="s">
        <v>77</v>
      </c>
      <c r="B7" s="51"/>
      <c r="C7" s="51"/>
      <c r="D7" s="51"/>
      <c r="E7" s="51" t="s">
        <v>162</v>
      </c>
      <c r="F7" s="51" t="s">
        <v>165</v>
      </c>
      <c r="G7" s="51">
        <v>26</v>
      </c>
    </row>
    <row r="8" spans="1:17" x14ac:dyDescent="0.35">
      <c r="A8" s="81" t="s">
        <v>133</v>
      </c>
      <c r="B8" s="81"/>
      <c r="C8" s="51"/>
      <c r="D8" s="51"/>
      <c r="E8" s="51" t="s">
        <v>160</v>
      </c>
      <c r="F8" s="51" t="s">
        <v>161</v>
      </c>
      <c r="G8" s="51">
        <v>14</v>
      </c>
    </row>
    <row r="10" spans="1:17" x14ac:dyDescent="0.35">
      <c r="A10" t="s">
        <v>1</v>
      </c>
      <c r="B10" s="18" t="s">
        <v>2</v>
      </c>
      <c r="C10" s="55" t="s">
        <v>3</v>
      </c>
      <c r="D10" s="18" t="str">
        <f>'Anschaffung und Förderung BEG'!D$4</f>
        <v>8.750 - 11.250 €</v>
      </c>
      <c r="E10" s="18">
        <v>11000</v>
      </c>
      <c r="F10" s="14"/>
      <c r="G10" s="18">
        <f>E10*(1-F10)</f>
        <v>11000</v>
      </c>
      <c r="H10" s="18">
        <v>20</v>
      </c>
      <c r="I10" s="18">
        <f t="shared" ref="I10:I15" si="0">G10/H10</f>
        <v>550</v>
      </c>
      <c r="J10" s="19">
        <v>0.95</v>
      </c>
      <c r="K10" s="62">
        <f>G$7*1000/J10</f>
        <v>27368.42105263158</v>
      </c>
      <c r="L10" s="17">
        <f>Preisentwicklung!Y5</f>
        <v>13.804679999999999</v>
      </c>
      <c r="M10" s="18">
        <f>(100+K10*L10)/100</f>
        <v>3779.1229473684211</v>
      </c>
      <c r="N10" s="18">
        <v>250</v>
      </c>
      <c r="O10" s="22">
        <f t="shared" ref="O10:O15" si="1">M10+I10+N10</f>
        <v>4579.1229473684216</v>
      </c>
      <c r="P10" s="20">
        <v>0.28000000000000003</v>
      </c>
      <c r="Q10" s="22">
        <f>K10*P10</f>
        <v>7663.1578947368434</v>
      </c>
    </row>
    <row r="11" spans="1:17" x14ac:dyDescent="0.35">
      <c r="A11" t="s">
        <v>5</v>
      </c>
      <c r="B11" s="18" t="s">
        <v>6</v>
      </c>
      <c r="C11" s="55" t="s">
        <v>7</v>
      </c>
      <c r="D11" s="18" t="str">
        <f>'Anschaffung und Förderung BEG'!D$5</f>
        <v>7.500 - 12.500 €</v>
      </c>
      <c r="E11" s="18">
        <v>11000</v>
      </c>
      <c r="F11" s="14"/>
      <c r="G11" s="18">
        <f>E11*(1-F11)</f>
        <v>11000</v>
      </c>
      <c r="H11" s="18">
        <v>20</v>
      </c>
      <c r="I11" s="18">
        <f t="shared" si="0"/>
        <v>550</v>
      </c>
      <c r="J11" s="19">
        <v>0.95</v>
      </c>
      <c r="K11" s="62">
        <f t="shared" ref="K11:K15" si="2">G$7*1000/J11</f>
        <v>27368.42105263158</v>
      </c>
      <c r="L11" s="17">
        <f>Preisentwicklung!Y6</f>
        <v>16.53</v>
      </c>
      <c r="M11" s="18">
        <f>(100+K11*L11)/100</f>
        <v>4525.0000000000009</v>
      </c>
      <c r="N11" s="18">
        <v>240</v>
      </c>
      <c r="O11" s="22">
        <f t="shared" si="1"/>
        <v>5315.0000000000009</v>
      </c>
      <c r="P11" s="20">
        <v>0.20200000000000001</v>
      </c>
      <c r="Q11" s="22">
        <f>K11*P11</f>
        <v>5528.4210526315792</v>
      </c>
    </row>
    <row r="12" spans="1:17" x14ac:dyDescent="0.35">
      <c r="A12" t="s">
        <v>128</v>
      </c>
      <c r="B12" s="18" t="s">
        <v>10</v>
      </c>
      <c r="C12" s="55" t="s">
        <v>11</v>
      </c>
      <c r="D12" s="18" t="str">
        <f>'Anschaffung und Förderung BEG'!D$6</f>
        <v>21.000 - 31.000 €</v>
      </c>
      <c r="E12" s="18">
        <v>26000</v>
      </c>
      <c r="F12" s="19">
        <v>0.1</v>
      </c>
      <c r="G12" s="18">
        <f>E12*(1-F12)</f>
        <v>23400</v>
      </c>
      <c r="H12" s="18">
        <v>20</v>
      </c>
      <c r="I12" s="18">
        <f t="shared" si="0"/>
        <v>1170</v>
      </c>
      <c r="J12" s="19">
        <v>0.95</v>
      </c>
      <c r="K12" s="62">
        <f t="shared" si="2"/>
        <v>27368.42105263158</v>
      </c>
      <c r="L12" s="17">
        <f>Preisentwicklung!Y7</f>
        <v>8.5416666666666679</v>
      </c>
      <c r="M12" s="18">
        <f>(100+K12*L12)/100</f>
        <v>2338.7192982456145</v>
      </c>
      <c r="N12" s="18">
        <v>400</v>
      </c>
      <c r="O12" s="22">
        <f t="shared" si="1"/>
        <v>3908.7192982456145</v>
      </c>
      <c r="P12" s="20">
        <v>0.40300000000000002</v>
      </c>
      <c r="Q12" s="22">
        <f>K12*P12</f>
        <v>11029.473684210527</v>
      </c>
    </row>
    <row r="13" spans="1:17" ht="17.5" customHeight="1" x14ac:dyDescent="0.35">
      <c r="A13" s="10" t="s">
        <v>129</v>
      </c>
      <c r="B13" s="18" t="s">
        <v>10</v>
      </c>
      <c r="C13" s="55" t="s">
        <v>11</v>
      </c>
      <c r="D13" s="18" t="str">
        <f>'Anschaffung und Förderung BEG'!D$6</f>
        <v>21.000 - 31.000 €</v>
      </c>
      <c r="E13" s="18">
        <v>26000</v>
      </c>
      <c r="F13" s="19">
        <v>0.1</v>
      </c>
      <c r="G13" s="18">
        <f>E13*(1-F13)</f>
        <v>23400</v>
      </c>
      <c r="H13" s="18">
        <v>20</v>
      </c>
      <c r="I13" s="18">
        <f t="shared" si="0"/>
        <v>1170</v>
      </c>
      <c r="J13" s="19">
        <v>0.95</v>
      </c>
      <c r="K13" s="62">
        <f t="shared" si="2"/>
        <v>27368.42105263158</v>
      </c>
      <c r="L13" s="17">
        <f>L12</f>
        <v>8.5416666666666679</v>
      </c>
      <c r="M13" s="18">
        <f>(100+K13*L13)/100</f>
        <v>2338.7192982456145</v>
      </c>
      <c r="N13" s="18">
        <v>400</v>
      </c>
      <c r="O13" s="22">
        <f t="shared" si="1"/>
        <v>3908.7192982456145</v>
      </c>
      <c r="P13" s="20">
        <v>2.1999999999999999E-2</v>
      </c>
      <c r="Q13" s="22">
        <f>K13*P13</f>
        <v>602.10526315789468</v>
      </c>
    </row>
    <row r="14" spans="1:17" x14ac:dyDescent="0.35">
      <c r="A14" t="s">
        <v>70</v>
      </c>
      <c r="B14" s="18" t="s">
        <v>20</v>
      </c>
      <c r="C14" s="55" t="s">
        <v>21</v>
      </c>
      <c r="D14" s="18" t="str">
        <f>'Anschaffung und Förderung BEG'!D$9</f>
        <v>18.750 - 37.500 €</v>
      </c>
      <c r="E14" s="18">
        <v>22000</v>
      </c>
      <c r="F14" s="19">
        <v>0.5</v>
      </c>
      <c r="G14" s="18">
        <f>E14*(1-F14)</f>
        <v>11000</v>
      </c>
      <c r="H14" s="18">
        <v>20</v>
      </c>
      <c r="I14" s="18">
        <f t="shared" si="0"/>
        <v>550</v>
      </c>
      <c r="J14" s="19">
        <v>2.5</v>
      </c>
      <c r="K14" s="62">
        <f t="shared" si="2"/>
        <v>10400</v>
      </c>
      <c r="L14" s="17">
        <f>Preisentwicklung!$Y$8</f>
        <v>40.270000000000003</v>
      </c>
      <c r="M14" s="18">
        <f>(100+K14*L14)/100</f>
        <v>4189.0800000000008</v>
      </c>
      <c r="N14" s="18">
        <v>130</v>
      </c>
      <c r="O14" s="22">
        <f t="shared" si="1"/>
        <v>4869.0800000000008</v>
      </c>
      <c r="P14" s="20">
        <f>0.42/3</f>
        <v>0.13999999999999999</v>
      </c>
      <c r="Q14" s="22">
        <f>K14*P14*J14</f>
        <v>3639.9999999999995</v>
      </c>
    </row>
    <row r="15" spans="1:17" x14ac:dyDescent="0.35">
      <c r="A15" t="s">
        <v>184</v>
      </c>
      <c r="B15" s="18"/>
      <c r="C15" s="56"/>
      <c r="D15" s="14"/>
      <c r="E15" s="18">
        <f>17120-1605+3000</f>
        <v>18515</v>
      </c>
      <c r="F15" s="19">
        <v>0.3</v>
      </c>
      <c r="G15" s="18">
        <f>E15*(1-F15)-2500</f>
        <v>10460.5</v>
      </c>
      <c r="H15" s="18">
        <v>30</v>
      </c>
      <c r="I15" s="18">
        <f t="shared" si="0"/>
        <v>348.68333333333334</v>
      </c>
      <c r="J15" s="19">
        <v>1</v>
      </c>
      <c r="K15" s="62">
        <f t="shared" si="2"/>
        <v>26000</v>
      </c>
      <c r="L15" s="17">
        <f>Preisentwicklung!Y9</f>
        <v>5.1062543308144415</v>
      </c>
      <c r="M15" s="18">
        <f>IF(G8&gt;12,G8,12)*Preisentwicklung!Y10*12+12*10.17+K15*L15/100</f>
        <v>4447.8872795473289</v>
      </c>
      <c r="N15" s="18">
        <v>0</v>
      </c>
      <c r="O15" s="22">
        <f t="shared" si="1"/>
        <v>4796.5706128806623</v>
      </c>
      <c r="P15" s="20">
        <v>8.5000000000000006E-2</v>
      </c>
      <c r="Q15" s="22">
        <f>K15*P15</f>
        <v>2210</v>
      </c>
    </row>
    <row r="16" spans="1:17" ht="16.5" x14ac:dyDescent="0.35">
      <c r="A16" s="21"/>
      <c r="B16" s="47"/>
      <c r="C16" s="48"/>
      <c r="D16" s="49"/>
      <c r="E16" s="13"/>
      <c r="F16" s="50"/>
      <c r="G16" s="13"/>
      <c r="H16" s="13"/>
      <c r="I16" s="13"/>
      <c r="J16" s="50"/>
      <c r="L16" s="12"/>
      <c r="M16" s="13"/>
      <c r="N16" s="13"/>
      <c r="O16" s="13"/>
      <c r="P16" s="53"/>
      <c r="Q16" s="54"/>
    </row>
    <row r="17" spans="1:17" ht="14.5" customHeight="1" x14ac:dyDescent="0.35">
      <c r="A17" s="82" t="s">
        <v>105</v>
      </c>
      <c r="B17" s="51"/>
      <c r="C17" s="51"/>
      <c r="D17" s="51"/>
      <c r="E17" s="51" t="s">
        <v>162</v>
      </c>
      <c r="F17" s="80" t="s">
        <v>79</v>
      </c>
      <c r="G17" s="51">
        <v>12</v>
      </c>
      <c r="J17" s="50"/>
      <c r="L17" s="12"/>
      <c r="M17" s="13"/>
      <c r="N17" s="13"/>
      <c r="O17" s="13"/>
      <c r="P17" s="53"/>
      <c r="Q17" s="54"/>
    </row>
    <row r="18" spans="1:17" ht="16.5" x14ac:dyDescent="0.35">
      <c r="A18" s="81" t="s">
        <v>133</v>
      </c>
      <c r="B18" s="51"/>
      <c r="C18" s="83"/>
      <c r="D18" s="79"/>
      <c r="E18" s="78" t="s">
        <v>160</v>
      </c>
      <c r="F18" s="80" t="s">
        <v>161</v>
      </c>
      <c r="G18" s="51">
        <v>7</v>
      </c>
      <c r="J18" s="50"/>
      <c r="L18" s="12"/>
      <c r="M18" s="13"/>
      <c r="N18" s="13"/>
      <c r="O18" s="13"/>
      <c r="P18" s="53"/>
      <c r="Q18" s="54"/>
    </row>
    <row r="19" spans="1:17" ht="16.5" x14ac:dyDescent="0.35">
      <c r="A19" s="52"/>
      <c r="B19" s="47"/>
      <c r="C19" s="48"/>
      <c r="J19" s="50"/>
      <c r="L19" s="12"/>
      <c r="M19" s="13"/>
      <c r="N19" s="13"/>
      <c r="O19" s="13"/>
      <c r="P19" s="53"/>
      <c r="Q19" s="54"/>
    </row>
    <row r="20" spans="1:17" x14ac:dyDescent="0.35">
      <c r="A20" t="s">
        <v>1</v>
      </c>
      <c r="B20" s="18" t="str">
        <f t="shared" ref="B20:C24" si="3">B10</f>
        <v>7,88 Cent</v>
      </c>
      <c r="C20" s="18" t="str">
        <f t="shared" si="3"/>
        <v>120 - 250 €</v>
      </c>
      <c r="D20" s="18" t="str">
        <f>'Anschaffung und Förderung BEG'!D$4</f>
        <v>8.750 - 11.250 €</v>
      </c>
      <c r="E20" s="18">
        <v>10000</v>
      </c>
      <c r="F20" s="14"/>
      <c r="G20" s="18">
        <f>E20*(1-F20)</f>
        <v>10000</v>
      </c>
      <c r="H20" s="18">
        <v>20</v>
      </c>
      <c r="I20" s="18">
        <f t="shared" ref="I20:I25" si="4">G20/H20</f>
        <v>500</v>
      </c>
      <c r="J20" s="19">
        <v>0.95</v>
      </c>
      <c r="K20" s="62">
        <f>$G$17*1000/J20</f>
        <v>12631.578947368422</v>
      </c>
      <c r="L20" s="17">
        <f>L10</f>
        <v>13.804679999999999</v>
      </c>
      <c r="M20" s="18">
        <f>(100+K20*L20)/100</f>
        <v>1744.7490526315792</v>
      </c>
      <c r="N20" s="18">
        <f t="shared" ref="N20:N25" si="5">N10</f>
        <v>250</v>
      </c>
      <c r="O20" s="22">
        <f t="shared" ref="O20:O25" si="6">M20+I20+N20</f>
        <v>2494.7490526315792</v>
      </c>
      <c r="P20" s="23">
        <f t="shared" ref="P20:P25" si="7">P10</f>
        <v>0.28000000000000003</v>
      </c>
      <c r="Q20" s="22">
        <f>K20*P20</f>
        <v>3536.8421052631584</v>
      </c>
    </row>
    <row r="21" spans="1:17" x14ac:dyDescent="0.35">
      <c r="A21" t="s">
        <v>5</v>
      </c>
      <c r="B21" s="18" t="str">
        <f t="shared" si="3"/>
        <v>9,463 Cent</v>
      </c>
      <c r="C21" s="18" t="str">
        <f t="shared" si="3"/>
        <v>100 - 200 €</v>
      </c>
      <c r="D21" s="18" t="str">
        <f>'Anschaffung und Förderung BEG'!D$5</f>
        <v>7.500 - 12.500 €</v>
      </c>
      <c r="E21" s="18">
        <v>9000</v>
      </c>
      <c r="F21" s="14"/>
      <c r="G21" s="18">
        <f>E21*(1-F21)</f>
        <v>9000</v>
      </c>
      <c r="H21" s="18">
        <v>20</v>
      </c>
      <c r="I21" s="18">
        <f t="shared" si="4"/>
        <v>450</v>
      </c>
      <c r="J21" s="19">
        <v>0.95</v>
      </c>
      <c r="K21" s="62">
        <f t="shared" ref="K21:K25" si="8">$G$17*1000/J21</f>
        <v>12631.578947368422</v>
      </c>
      <c r="L21" s="17">
        <f>L11</f>
        <v>16.53</v>
      </c>
      <c r="M21" s="18">
        <f>(100+K21*L21)/100</f>
        <v>2089.0000000000005</v>
      </c>
      <c r="N21" s="18">
        <f t="shared" si="5"/>
        <v>240</v>
      </c>
      <c r="O21" s="22">
        <f t="shared" si="6"/>
        <v>2779.0000000000005</v>
      </c>
      <c r="P21" s="23">
        <f t="shared" si="7"/>
        <v>0.20200000000000001</v>
      </c>
      <c r="Q21" s="22">
        <f>K21*P21</f>
        <v>2551.5789473684213</v>
      </c>
    </row>
    <row r="22" spans="1:17" x14ac:dyDescent="0.35">
      <c r="A22" t="s">
        <v>127</v>
      </c>
      <c r="B22" s="18" t="str">
        <f t="shared" si="3"/>
        <v>5,58 Cent</v>
      </c>
      <c r="C22" s="18" t="str">
        <f t="shared" si="3"/>
        <v>300 €</v>
      </c>
      <c r="D22" s="18" t="str">
        <f>'Anschaffung und Förderung BEG'!D$6</f>
        <v>21.000 - 31.000 €</v>
      </c>
      <c r="E22" s="18">
        <v>23000</v>
      </c>
      <c r="F22" s="19">
        <v>0.1</v>
      </c>
      <c r="G22" s="18">
        <f>E22*(1-F22)</f>
        <v>20700</v>
      </c>
      <c r="H22" s="18">
        <v>20</v>
      </c>
      <c r="I22" s="18">
        <f t="shared" si="4"/>
        <v>1035</v>
      </c>
      <c r="J22" s="19">
        <v>0.95</v>
      </c>
      <c r="K22" s="62">
        <f t="shared" si="8"/>
        <v>12631.578947368422</v>
      </c>
      <c r="L22" s="17">
        <f>L12</f>
        <v>8.5416666666666679</v>
      </c>
      <c r="M22" s="18">
        <f>(100+K22*L22)/100</f>
        <v>1079.9473684210527</v>
      </c>
      <c r="N22" s="18">
        <f t="shared" si="5"/>
        <v>400</v>
      </c>
      <c r="O22" s="22">
        <f t="shared" si="6"/>
        <v>2514.9473684210525</v>
      </c>
      <c r="P22" s="23">
        <f t="shared" si="7"/>
        <v>0.40300000000000002</v>
      </c>
      <c r="Q22" s="22">
        <f>K22*P22</f>
        <v>5090.5263157894742</v>
      </c>
    </row>
    <row r="23" spans="1:17" x14ac:dyDescent="0.35">
      <c r="A23" t="s">
        <v>126</v>
      </c>
      <c r="B23" s="18" t="str">
        <f t="shared" si="3"/>
        <v>5,58 Cent</v>
      </c>
      <c r="C23" s="18" t="str">
        <f t="shared" si="3"/>
        <v>300 €</v>
      </c>
      <c r="D23" s="18" t="str">
        <f>'Anschaffung und Förderung BEG'!D$6</f>
        <v>21.000 - 31.000 €</v>
      </c>
      <c r="E23" s="18">
        <v>23000</v>
      </c>
      <c r="F23" s="19">
        <v>0.1</v>
      </c>
      <c r="G23" s="18">
        <f>E23*(1-F23)</f>
        <v>20700</v>
      </c>
      <c r="H23" s="18">
        <v>20</v>
      </c>
      <c r="I23" s="18">
        <f t="shared" si="4"/>
        <v>1035</v>
      </c>
      <c r="J23" s="19">
        <v>0.95</v>
      </c>
      <c r="K23" s="62">
        <f t="shared" si="8"/>
        <v>12631.578947368422</v>
      </c>
      <c r="L23" s="17">
        <f>L13</f>
        <v>8.5416666666666679</v>
      </c>
      <c r="M23" s="18">
        <f>(100+K23*L23)/100</f>
        <v>1079.9473684210527</v>
      </c>
      <c r="N23" s="18">
        <f t="shared" si="5"/>
        <v>400</v>
      </c>
      <c r="O23" s="22">
        <f t="shared" si="6"/>
        <v>2514.9473684210525</v>
      </c>
      <c r="P23" s="23">
        <f t="shared" si="7"/>
        <v>2.1999999999999999E-2</v>
      </c>
      <c r="Q23" s="22">
        <f>K23*P23</f>
        <v>277.89473684210526</v>
      </c>
    </row>
    <row r="24" spans="1:17" x14ac:dyDescent="0.35">
      <c r="A24" t="s">
        <v>69</v>
      </c>
      <c r="B24" s="18" t="str">
        <f t="shared" si="3"/>
        <v>27,52 Cent*</v>
      </c>
      <c r="C24" s="18" t="str">
        <f t="shared" si="3"/>
        <v>100 €</v>
      </c>
      <c r="D24" s="18" t="str">
        <f>'Anschaffung und Förderung BEG'!D$9</f>
        <v>18.750 - 37.500 €</v>
      </c>
      <c r="E24" s="18">
        <v>20000</v>
      </c>
      <c r="F24" s="19">
        <v>0.5</v>
      </c>
      <c r="G24" s="18">
        <f>E24*(1-F24)</f>
        <v>10000</v>
      </c>
      <c r="H24" s="18">
        <v>20</v>
      </c>
      <c r="I24" s="18">
        <f t="shared" si="4"/>
        <v>500</v>
      </c>
      <c r="J24" s="19">
        <v>3</v>
      </c>
      <c r="K24" s="62">
        <f t="shared" si="8"/>
        <v>4000</v>
      </c>
      <c r="L24" s="17">
        <f>L14</f>
        <v>40.270000000000003</v>
      </c>
      <c r="M24" s="18">
        <f>(100+K24*L24)/100</f>
        <v>1611.8</v>
      </c>
      <c r="N24" s="18">
        <f t="shared" si="5"/>
        <v>130</v>
      </c>
      <c r="O24" s="22">
        <f t="shared" si="6"/>
        <v>2241.8000000000002</v>
      </c>
      <c r="P24" s="23">
        <f t="shared" si="7"/>
        <v>0.13999999999999999</v>
      </c>
      <c r="Q24" s="22">
        <f>K24*P24*J24</f>
        <v>1679.9999999999995</v>
      </c>
    </row>
    <row r="25" spans="1:17" x14ac:dyDescent="0.35">
      <c r="A25" t="s">
        <v>184</v>
      </c>
      <c r="B25" s="18"/>
      <c r="C25" s="18"/>
      <c r="D25" s="14"/>
      <c r="E25" s="18">
        <f>17120-1605+3000</f>
        <v>18515</v>
      </c>
      <c r="F25" s="19">
        <v>0.3</v>
      </c>
      <c r="G25" s="18">
        <f>E25*(1-F25)-2500</f>
        <v>10460.5</v>
      </c>
      <c r="H25" s="18">
        <v>30</v>
      </c>
      <c r="I25" s="18">
        <f t="shared" si="4"/>
        <v>348.68333333333334</v>
      </c>
      <c r="J25" s="19">
        <v>1</v>
      </c>
      <c r="K25" s="62">
        <f t="shared" si="8"/>
        <v>12000</v>
      </c>
      <c r="L25" s="17">
        <f>Preisentwicklung!Y9</f>
        <v>5.1062543308144415</v>
      </c>
      <c r="M25" s="18">
        <f>IF(G18&gt;12,G18,12)*Preisentwicklung!Y10*12+10.17*12+K25*L25/100</f>
        <v>3304.6943655853679</v>
      </c>
      <c r="N25" s="18">
        <f t="shared" si="5"/>
        <v>0</v>
      </c>
      <c r="O25" s="22">
        <f t="shared" si="6"/>
        <v>3653.3776989187013</v>
      </c>
      <c r="P25" s="23">
        <f t="shared" si="7"/>
        <v>8.5000000000000006E-2</v>
      </c>
      <c r="Q25" s="22">
        <f>K25*P25</f>
        <v>1020.0000000000001</v>
      </c>
    </row>
    <row r="26" spans="1:17" x14ac:dyDescent="0.35">
      <c r="K26" s="10"/>
    </row>
    <row r="27" spans="1:17" ht="36.5" customHeight="1" x14ac:dyDescent="0.35">
      <c r="B27" s="10" t="s">
        <v>135</v>
      </c>
      <c r="C27" s="102" t="s">
        <v>185</v>
      </c>
      <c r="D27" s="102"/>
      <c r="E27" s="102"/>
      <c r="F27" s="102"/>
      <c r="G27" s="102"/>
      <c r="H27" s="102"/>
      <c r="I27" s="102"/>
      <c r="J27" s="102"/>
      <c r="K27" s="102"/>
      <c r="L27" s="102"/>
    </row>
  </sheetData>
  <mergeCells count="9">
    <mergeCell ref="O3:O4"/>
    <mergeCell ref="P3:Q3"/>
    <mergeCell ref="P4:P5"/>
    <mergeCell ref="Q4:Q5"/>
    <mergeCell ref="C27:L27"/>
    <mergeCell ref="J3:N3"/>
    <mergeCell ref="A3:A4"/>
    <mergeCell ref="B3:D3"/>
    <mergeCell ref="E3:I3"/>
  </mergeCells>
  <hyperlinks>
    <hyperlink ref="P15" r:id="rId1" display="https://www.ingenieur.de/technik/fachbereiche/energie/geothermie-unerschoepflich-unerschlossen/" xr:uid="{D21DBF4A-E842-4ACE-AAFB-D8CE8B30A3F5}"/>
    <hyperlink ref="P14" r:id="rId2" display="https://de.statista.com/statistik/daten/studie/38897/umfrage/co2-emissionsfaktor-fuer-den-strommix-in-deutschland-seit-1990/" xr:uid="{4C73979E-A42E-4929-A632-80B68BBC338F}"/>
    <hyperlink ref="P12" r:id="rId3" display="https://www.wwf.de/themen-projekte/waelder/wald-und-klima/wie-holzverbrennung-den-klimawandel-befeuert?gclid=Cj0KCQjwwvilBhCFARIsADvYi7Jm13bBdZtEW7tSH7AV7yGEFE62dEo1jucth1FAe5kCL4bnvBagx3EaAgpZEALw_wcB" xr:uid="{817DC925-C704-4E71-8331-28CEF3E731D7}"/>
    <hyperlink ref="P11" r:id="rId4" display="https://www.thermondo.de/info/rat/vergleich/co2-steuer-heizen/" xr:uid="{57067782-701A-4937-8898-89B3F3C52249}"/>
    <hyperlink ref="P10" r:id="rId5" display="https://www.thermondo.de/info/rat/vergleich/co2-steuer-heizen/" xr:uid="{B81AF367-1CF8-4864-A06C-F7FDA6FFDE40}"/>
    <hyperlink ref="P13" r:id="rId6" display="https://depv.de/p/Bessere-CO2-Bilanz-mit-Holzpellets-pWuQQ4VvuNQoYjUzRf778Z" xr:uid="{59BC871A-3ED5-4C04-988C-0548AB4BFF2E}"/>
    <hyperlink ref="C27:G27" r:id="rId7" location=":~:text=Standardpufferspeicher%20sind%20je%20nach%20Gr%C3%B6%C3%9Fe,zwischen%204.800%20und%205.500%20Euro." display="Kosten für Anschluss der Übergabestation an das bestehende Heizsystem inkl. Neuem Pufferspeicher und Einbau" xr:uid="{3076F920-E9A0-46A8-92ED-16FB6390D154}"/>
    <hyperlink ref="F4" r:id="rId8" display="BAFA-Förderung (ohne Heizungstausch-Bonus von 10%)" xr:uid="{68656E75-FB88-4477-9290-D6CDEBFCE816}"/>
    <hyperlink ref="J4" r:id="rId9" display="Energieeffizienz" xr:uid="{82966711-2258-4A0C-90F2-8A0340F51047}"/>
  </hyperlinks>
  <pageMargins left="0.7" right="0.7" top="0.78740157499999996" bottom="0.78740157499999996" header="0.3" footer="0.3"/>
  <pageSetup paperSize="9" scale="90" orientation="landscape" horizontalDpi="4294967293" verticalDpi="0" r:id="rId10"/>
  <legacyDrawing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C40A7-7C80-48C4-827D-56A36189CE9C}">
  <dimension ref="A1:C19"/>
  <sheetViews>
    <sheetView view="pageBreakPreview" zoomScale="60" zoomScaleNormal="70" zoomScalePageLayoutView="56" workbookViewId="0">
      <selection activeCell="C22" sqref="C22"/>
    </sheetView>
  </sheetViews>
  <sheetFormatPr baseColWidth="10" defaultRowHeight="14.5" x14ac:dyDescent="0.35"/>
  <cols>
    <col min="1" max="1" width="22.1796875" style="10" customWidth="1"/>
    <col min="2" max="2" width="12.453125" style="10" customWidth="1"/>
    <col min="3" max="3" width="10.6328125" style="10" customWidth="1"/>
    <col min="4" max="4" width="4.26953125" customWidth="1"/>
  </cols>
  <sheetData>
    <row r="1" spans="1:3" x14ac:dyDescent="0.35">
      <c r="A1" s="110" t="s">
        <v>188</v>
      </c>
      <c r="B1" s="110"/>
      <c r="C1" s="110"/>
    </row>
    <row r="3" spans="1:3" ht="43.5" x14ac:dyDescent="0.35">
      <c r="A3" s="94"/>
      <c r="B3" s="95" t="s">
        <v>73</v>
      </c>
      <c r="C3" s="95" t="s">
        <v>72</v>
      </c>
    </row>
    <row r="4" spans="1:3" ht="29" x14ac:dyDescent="0.35">
      <c r="A4" s="95" t="s">
        <v>129</v>
      </c>
      <c r="B4" s="95">
        <f>VLOOKUP($A4,'Kosten und CO2-Emissionen 2023'!$A$10:$Q$15,17,0)</f>
        <v>602.10526315789468</v>
      </c>
      <c r="C4" s="95">
        <f>VLOOKUP($A4,'Kosten und CO2-Emissionen 2023'!$A$10:$Q$15,15,0)</f>
        <v>3908.7192982456145</v>
      </c>
    </row>
    <row r="5" spans="1:3" ht="29" x14ac:dyDescent="0.35">
      <c r="A5" s="95" t="s">
        <v>184</v>
      </c>
      <c r="B5" s="95">
        <f>VLOOKUP($A5,'Kosten und CO2-Emissionen 2023'!$A$10:$Q$15,17,0)</f>
        <v>2210</v>
      </c>
      <c r="C5" s="95">
        <f>VLOOKUP($A5,'Kosten und CO2-Emissionen 2023'!$A$10:$Q$15,15,0)</f>
        <v>3860.0033333333331</v>
      </c>
    </row>
    <row r="6" spans="1:3" ht="29" x14ac:dyDescent="0.35">
      <c r="A6" s="95" t="s">
        <v>70</v>
      </c>
      <c r="B6" s="95">
        <f>VLOOKUP($A6,'Kosten und CO2-Emissionen 2023'!$A$10:$Q$15,17,0)</f>
        <v>3639.9999999999995</v>
      </c>
      <c r="C6" s="95">
        <f>VLOOKUP($A6,'Kosten und CO2-Emissionen 2023'!$A$10:$Q$15,15,0)</f>
        <v>4321</v>
      </c>
    </row>
    <row r="7" spans="1:3" x14ac:dyDescent="0.35">
      <c r="A7" s="95" t="s">
        <v>131</v>
      </c>
      <c r="B7" s="95">
        <f>VLOOKUP($A7,'Kosten und CO2-Emissionen 2023'!$A$10:$Q$15,17,0)</f>
        <v>5528.4210526315792</v>
      </c>
      <c r="C7" s="95">
        <f>VLOOKUP($A7,'Kosten und CO2-Emissionen 2023'!$A$10:$Q$15,15,0)</f>
        <v>4075.21052631579</v>
      </c>
    </row>
    <row r="8" spans="1:3" x14ac:dyDescent="0.35">
      <c r="A8" s="95" t="s">
        <v>130</v>
      </c>
      <c r="B8" s="95">
        <f>VLOOKUP($A8,'Kosten und CO2-Emissionen 2023'!$A$10:$Q$15,17,0)</f>
        <v>7663.1578947368434</v>
      </c>
      <c r="C8" s="95">
        <f>VLOOKUP($A8,'Kosten und CO2-Emissionen 2023'!$A$10:$Q$15,15,0)</f>
        <v>3537.8421052631579</v>
      </c>
    </row>
    <row r="9" spans="1:3" ht="29" x14ac:dyDescent="0.35">
      <c r="A9" s="95" t="s">
        <v>128</v>
      </c>
      <c r="B9" s="95">
        <f>VLOOKUP($A9,'Kosten und CO2-Emissionen 2023'!$A$10:$Q$15,17,0)</f>
        <v>11029.473684210527</v>
      </c>
      <c r="C9" s="95">
        <f>VLOOKUP($A9,'Kosten und CO2-Emissionen 2023'!$A$10:$Q$15,15,0)</f>
        <v>3908.7192982456145</v>
      </c>
    </row>
    <row r="10" spans="1:3" x14ac:dyDescent="0.35">
      <c r="A10" s="86"/>
      <c r="B10" s="86"/>
      <c r="C10" s="86"/>
    </row>
    <row r="11" spans="1:3" x14ac:dyDescent="0.35">
      <c r="A11" s="86"/>
      <c r="B11" s="86"/>
      <c r="C11" s="86"/>
    </row>
    <row r="12" spans="1:3" x14ac:dyDescent="0.35">
      <c r="A12" s="86"/>
      <c r="B12" s="86"/>
      <c r="C12" s="86"/>
    </row>
    <row r="13" spans="1:3" x14ac:dyDescent="0.35">
      <c r="A13" s="86"/>
      <c r="B13" s="86"/>
      <c r="C13" s="86"/>
    </row>
    <row r="14" spans="1:3" ht="29" x14ac:dyDescent="0.35">
      <c r="A14" s="94" t="s">
        <v>129</v>
      </c>
      <c r="B14" s="95">
        <f>VLOOKUP($A14,'Kosten und CO2-Emissionen 2023'!$A$20:$Q$25,17,0)</f>
        <v>277.89473684210526</v>
      </c>
      <c r="C14" s="95">
        <f>VLOOKUP($A14,'Kosten und CO2-Emissionen 2023'!$A$20:$Q$25,15,0)</f>
        <v>2514.9473684210525</v>
      </c>
    </row>
    <row r="15" spans="1:3" ht="29" x14ac:dyDescent="0.35">
      <c r="A15" s="94" t="s">
        <v>184</v>
      </c>
      <c r="B15" s="95">
        <f>VLOOKUP($A15,'Kosten und CO2-Emissionen 2023'!$A$20:$Q$25,17,0)</f>
        <v>1020.0000000000001</v>
      </c>
      <c r="C15" s="95">
        <f>VLOOKUP($A15,'Kosten und CO2-Emissionen 2023'!$A$20:$Q$25,15,0)</f>
        <v>2912.9633333333336</v>
      </c>
    </row>
    <row r="16" spans="1:3" ht="29" x14ac:dyDescent="0.35">
      <c r="A16" s="94" t="s">
        <v>69</v>
      </c>
      <c r="B16" s="95">
        <f>VLOOKUP($A16,'Kosten und CO2-Emissionen 2023'!$A$20:$Q$25,17,0)</f>
        <v>1679.9999999999995</v>
      </c>
      <c r="C16" s="95">
        <f>VLOOKUP($A16,'Kosten und CO2-Emissionen 2023'!$A$20:$Q$25,15,0)</f>
        <v>2031</v>
      </c>
    </row>
    <row r="17" spans="1:3" x14ac:dyDescent="0.35">
      <c r="A17" s="94" t="s">
        <v>131</v>
      </c>
      <c r="B17" s="95">
        <f>VLOOKUP($A17,'Kosten und CO2-Emissionen 2023'!$A$20:$Q$25,17,0)</f>
        <v>2551.5789473684213</v>
      </c>
      <c r="C17" s="95">
        <f>VLOOKUP($A17,'Kosten und CO2-Emissionen 2023'!$A$20:$Q$25,15,0)</f>
        <v>2206.7894736842109</v>
      </c>
    </row>
    <row r="18" spans="1:3" x14ac:dyDescent="0.35">
      <c r="A18" s="94" t="s">
        <v>130</v>
      </c>
      <c r="B18" s="95">
        <f>VLOOKUP($A18,'Kosten und CO2-Emissionen 2023'!$A$20:$Q$25,17,0)</f>
        <v>3536.8421052631584</v>
      </c>
      <c r="C18" s="95">
        <f>VLOOKUP($A18,'Kosten und CO2-Emissionen 2023'!$A$20:$Q$25,15,0)</f>
        <v>2014.1578947368421</v>
      </c>
    </row>
    <row r="19" spans="1:3" ht="29" x14ac:dyDescent="0.35">
      <c r="A19" s="94" t="s">
        <v>128</v>
      </c>
      <c r="B19" s="95">
        <f>VLOOKUP($A19,'Kosten und CO2-Emissionen 2023'!$A$20:$Q$25,17,0)</f>
        <v>5090.5263157894742</v>
      </c>
      <c r="C19" s="95">
        <f>VLOOKUP($A19,'Kosten und CO2-Emissionen 2023'!$A$20:$Q$25,15,0)</f>
        <v>2514.9473684210525</v>
      </c>
    </row>
  </sheetData>
  <mergeCells count="1">
    <mergeCell ref="A1:C1"/>
  </mergeCells>
  <pageMargins left="0.7" right="0.7" top="0.78740157499999996" bottom="0.78740157499999996" header="0.3" footer="0.3"/>
  <pageSetup paperSize="9" scale="80" orientation="landscape" horizontalDpi="4294967293" verticalDpi="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D1121-A2F9-48D6-8DEE-4549D22A52C4}">
  <dimension ref="A1:J23"/>
  <sheetViews>
    <sheetView view="pageBreakPreview" topLeftCell="B1" zoomScale="60" zoomScaleNormal="100" workbookViewId="0">
      <selection activeCell="L12" sqref="L12"/>
    </sheetView>
  </sheetViews>
  <sheetFormatPr baseColWidth="10" defaultRowHeight="14.5" x14ac:dyDescent="0.35"/>
  <cols>
    <col min="1" max="1" width="20" customWidth="1"/>
    <col min="2" max="3" width="15.90625" customWidth="1"/>
    <col min="4" max="4" width="22.54296875" customWidth="1"/>
    <col min="5" max="5" width="11.1796875" style="100" customWidth="1"/>
    <col min="6" max="9" width="11.1796875" style="101" customWidth="1"/>
    <col min="10" max="10" width="11.1796875" customWidth="1"/>
  </cols>
  <sheetData>
    <row r="1" spans="1:10" x14ac:dyDescent="0.35">
      <c r="A1" s="114" t="s">
        <v>43</v>
      </c>
      <c r="B1" s="116" t="s">
        <v>187</v>
      </c>
      <c r="C1" s="116" t="s">
        <v>0</v>
      </c>
      <c r="D1" s="116" t="s">
        <v>52</v>
      </c>
      <c r="E1" s="113" t="s">
        <v>167</v>
      </c>
      <c r="F1" s="113"/>
      <c r="G1" s="113"/>
      <c r="H1" s="113"/>
      <c r="I1" s="113"/>
      <c r="J1" s="113"/>
    </row>
    <row r="2" spans="1:10" ht="14.5" customHeight="1" x14ac:dyDescent="0.35">
      <c r="A2" s="114"/>
      <c r="B2" s="116"/>
      <c r="C2" s="116"/>
      <c r="D2" s="116"/>
      <c r="E2" s="117" t="s">
        <v>41</v>
      </c>
      <c r="F2" s="118" t="s">
        <v>42</v>
      </c>
      <c r="G2" s="118"/>
      <c r="H2" s="118"/>
      <c r="I2" s="118"/>
      <c r="J2" s="119" t="s">
        <v>175</v>
      </c>
    </row>
    <row r="3" spans="1:10" ht="26" x14ac:dyDescent="0.35">
      <c r="A3" s="115"/>
      <c r="B3" s="116"/>
      <c r="C3" s="116"/>
      <c r="D3" s="116"/>
      <c r="E3" s="117"/>
      <c r="F3" s="97" t="s">
        <v>44</v>
      </c>
      <c r="G3" s="97" t="s">
        <v>45</v>
      </c>
      <c r="H3" s="97" t="s">
        <v>46</v>
      </c>
      <c r="I3" s="97" t="s">
        <v>47</v>
      </c>
      <c r="J3" s="119"/>
    </row>
    <row r="4" spans="1:10" ht="16.5" x14ac:dyDescent="0.35">
      <c r="A4" s="3" t="s">
        <v>1</v>
      </c>
      <c r="B4" s="4" t="s">
        <v>2</v>
      </c>
      <c r="C4" s="4" t="s">
        <v>3</v>
      </c>
      <c r="D4" s="5" t="s">
        <v>4</v>
      </c>
      <c r="E4" s="98">
        <v>0</v>
      </c>
      <c r="F4" s="98"/>
      <c r="G4" s="98"/>
      <c r="H4" s="98"/>
      <c r="I4" s="98"/>
      <c r="J4" s="2">
        <f>SUM(E4:I4)</f>
        <v>0</v>
      </c>
    </row>
    <row r="5" spans="1:10" ht="16.5" x14ac:dyDescent="0.35">
      <c r="A5" s="3" t="s">
        <v>5</v>
      </c>
      <c r="B5" s="4" t="s">
        <v>6</v>
      </c>
      <c r="C5" s="4" t="s">
        <v>7</v>
      </c>
      <c r="D5" s="5" t="s">
        <v>8</v>
      </c>
      <c r="E5" s="98">
        <v>0</v>
      </c>
      <c r="F5" s="98"/>
      <c r="G5" s="98"/>
      <c r="H5" s="98"/>
      <c r="I5" s="98"/>
      <c r="J5" s="2">
        <f t="shared" ref="J5:J15" si="0">SUM(E5:I5)</f>
        <v>0</v>
      </c>
    </row>
    <row r="6" spans="1:10" ht="16.5" x14ac:dyDescent="0.35">
      <c r="A6" s="3" t="s">
        <v>9</v>
      </c>
      <c r="B6" s="4" t="s">
        <v>10</v>
      </c>
      <c r="C6" s="4" t="s">
        <v>11</v>
      </c>
      <c r="D6" s="5" t="s">
        <v>12</v>
      </c>
      <c r="E6" s="98">
        <v>0.1</v>
      </c>
      <c r="F6" s="98"/>
      <c r="G6" s="98">
        <v>0.1</v>
      </c>
      <c r="H6" s="98"/>
      <c r="I6" s="98"/>
      <c r="J6" s="2">
        <f t="shared" si="0"/>
        <v>0.2</v>
      </c>
    </row>
    <row r="7" spans="1:10" ht="16.5" x14ac:dyDescent="0.35">
      <c r="A7" s="3" t="s">
        <v>13</v>
      </c>
      <c r="B7" s="4" t="s">
        <v>14</v>
      </c>
      <c r="C7" s="4" t="s">
        <v>11</v>
      </c>
      <c r="D7" s="5" t="s">
        <v>15</v>
      </c>
      <c r="E7" s="98">
        <v>0.1</v>
      </c>
      <c r="F7" s="98"/>
      <c r="G7" s="98">
        <v>0.1</v>
      </c>
      <c r="H7" s="98"/>
      <c r="I7" s="98"/>
      <c r="J7" s="2">
        <f t="shared" si="0"/>
        <v>0.2</v>
      </c>
    </row>
    <row r="8" spans="1:10" ht="16.5" x14ac:dyDescent="0.35">
      <c r="A8" s="3" t="s">
        <v>16</v>
      </c>
      <c r="B8" s="4" t="s">
        <v>17</v>
      </c>
      <c r="C8" s="4" t="s">
        <v>11</v>
      </c>
      <c r="D8" s="5" t="s">
        <v>18</v>
      </c>
      <c r="E8" s="98">
        <v>0.1</v>
      </c>
      <c r="F8" s="98"/>
      <c r="G8" s="98">
        <v>0.1</v>
      </c>
      <c r="H8" s="98"/>
      <c r="I8" s="98"/>
      <c r="J8" s="2">
        <f t="shared" si="0"/>
        <v>0.2</v>
      </c>
    </row>
    <row r="9" spans="1:10" ht="16.5" x14ac:dyDescent="0.35">
      <c r="A9" s="3" t="s">
        <v>19</v>
      </c>
      <c r="B9" s="4" t="s">
        <v>20</v>
      </c>
      <c r="C9" s="4" t="s">
        <v>21</v>
      </c>
      <c r="D9" s="5" t="s">
        <v>22</v>
      </c>
      <c r="E9" s="99">
        <v>0.25</v>
      </c>
      <c r="F9" s="99">
        <v>0.1</v>
      </c>
      <c r="G9" s="99"/>
      <c r="H9" s="99">
        <v>0.05</v>
      </c>
      <c r="I9" s="98"/>
      <c r="J9" s="2">
        <v>0.5</v>
      </c>
    </row>
    <row r="10" spans="1:10" ht="33" x14ac:dyDescent="0.35">
      <c r="A10" s="3" t="s">
        <v>23</v>
      </c>
      <c r="B10" s="4" t="s">
        <v>24</v>
      </c>
      <c r="C10" s="4" t="s">
        <v>25</v>
      </c>
      <c r="D10" s="5" t="s">
        <v>26</v>
      </c>
      <c r="E10" s="98">
        <v>0</v>
      </c>
      <c r="F10" s="98"/>
      <c r="G10" s="98"/>
      <c r="H10" s="98"/>
      <c r="I10" s="98"/>
      <c r="J10" s="2">
        <f t="shared" si="0"/>
        <v>0</v>
      </c>
    </row>
    <row r="11" spans="1:10" ht="33" x14ac:dyDescent="0.35">
      <c r="A11" s="3" t="s">
        <v>27</v>
      </c>
      <c r="B11" s="4" t="s">
        <v>24</v>
      </c>
      <c r="C11" s="6">
        <v>0</v>
      </c>
      <c r="D11" s="5" t="s">
        <v>26</v>
      </c>
      <c r="E11" s="98">
        <v>0</v>
      </c>
      <c r="F11" s="98"/>
      <c r="G11" s="98"/>
      <c r="H11" s="98"/>
      <c r="I11" s="98"/>
      <c r="J11" s="2">
        <f t="shared" si="0"/>
        <v>0</v>
      </c>
    </row>
    <row r="12" spans="1:10" ht="28.5" customHeight="1" x14ac:dyDescent="0.35">
      <c r="A12" s="3" t="s">
        <v>28</v>
      </c>
      <c r="B12" s="7" t="s">
        <v>29</v>
      </c>
      <c r="C12" s="8">
        <v>0</v>
      </c>
      <c r="D12" s="5" t="s">
        <v>172</v>
      </c>
      <c r="E12" s="98">
        <v>0.3</v>
      </c>
      <c r="F12" s="98"/>
      <c r="G12" s="98">
        <v>0.1</v>
      </c>
      <c r="H12" s="98"/>
      <c r="I12" s="98"/>
      <c r="J12" s="2">
        <f t="shared" si="0"/>
        <v>0.4</v>
      </c>
    </row>
    <row r="13" spans="1:10" ht="52" customHeight="1" x14ac:dyDescent="0.35">
      <c r="A13" s="3" t="s">
        <v>30</v>
      </c>
      <c r="B13" s="7" t="s">
        <v>31</v>
      </c>
      <c r="C13" s="7" t="s">
        <v>32</v>
      </c>
      <c r="D13" s="5" t="s">
        <v>33</v>
      </c>
      <c r="E13" s="98">
        <v>0</v>
      </c>
      <c r="F13" s="98"/>
      <c r="G13" s="98"/>
      <c r="H13" s="98"/>
      <c r="I13" s="98"/>
      <c r="J13" s="2">
        <f t="shared" si="0"/>
        <v>0</v>
      </c>
    </row>
    <row r="14" spans="1:10" ht="16.5" x14ac:dyDescent="0.35">
      <c r="A14" s="3" t="s">
        <v>34</v>
      </c>
      <c r="B14" s="7" t="s">
        <v>35</v>
      </c>
      <c r="C14" s="7" t="s">
        <v>32</v>
      </c>
      <c r="D14" s="5" t="s">
        <v>36</v>
      </c>
      <c r="E14" s="98">
        <v>0</v>
      </c>
      <c r="F14" s="98"/>
      <c r="G14" s="98"/>
      <c r="H14" s="98"/>
      <c r="I14" s="98"/>
      <c r="J14" s="2">
        <f t="shared" si="0"/>
        <v>0</v>
      </c>
    </row>
    <row r="15" spans="1:10" ht="16.5" x14ac:dyDescent="0.35">
      <c r="A15" s="3" t="s">
        <v>37</v>
      </c>
      <c r="B15" s="7" t="s">
        <v>38</v>
      </c>
      <c r="C15" s="7" t="s">
        <v>39</v>
      </c>
      <c r="D15" s="5" t="s">
        <v>40</v>
      </c>
      <c r="E15" s="98">
        <v>0.25</v>
      </c>
      <c r="F15" s="98"/>
      <c r="G15" s="98"/>
      <c r="H15" s="98"/>
      <c r="I15" s="98"/>
      <c r="J15" s="2">
        <f t="shared" si="0"/>
        <v>0.25</v>
      </c>
    </row>
    <row r="16" spans="1:10" ht="8.5" customHeight="1" x14ac:dyDescent="0.35"/>
    <row r="17" spans="1:10" s="9" customFormat="1" ht="13" x14ac:dyDescent="0.3">
      <c r="A17" s="112" t="s">
        <v>48</v>
      </c>
      <c r="B17" s="112"/>
      <c r="C17" s="112"/>
      <c r="D17" s="112"/>
      <c r="E17" s="112"/>
      <c r="F17" s="112"/>
      <c r="G17" s="112"/>
      <c r="H17" s="112"/>
      <c r="I17" s="112"/>
      <c r="J17" s="112"/>
    </row>
    <row r="18" spans="1:10" s="9" customFormat="1" ht="13" x14ac:dyDescent="0.3">
      <c r="A18" s="112" t="s">
        <v>49</v>
      </c>
      <c r="B18" s="112"/>
      <c r="C18" s="112"/>
      <c r="D18" s="112"/>
      <c r="E18" s="112"/>
      <c r="F18" s="112"/>
      <c r="G18" s="112"/>
      <c r="H18" s="112"/>
      <c r="I18" s="112"/>
      <c r="J18" s="112"/>
    </row>
    <row r="19" spans="1:10" s="9" customFormat="1" ht="13" x14ac:dyDescent="0.3">
      <c r="A19" s="112" t="s">
        <v>50</v>
      </c>
      <c r="B19" s="112"/>
      <c r="C19" s="112"/>
      <c r="D19" s="112"/>
      <c r="E19" s="112"/>
      <c r="F19" s="112"/>
      <c r="G19" s="112"/>
      <c r="H19" s="112"/>
      <c r="I19" s="112"/>
      <c r="J19" s="112"/>
    </row>
    <row r="20" spans="1:10" s="9" customFormat="1" ht="33.5" customHeight="1" x14ac:dyDescent="0.3">
      <c r="A20" s="112" t="s">
        <v>51</v>
      </c>
      <c r="B20" s="112"/>
      <c r="C20" s="112"/>
      <c r="D20" s="112"/>
      <c r="E20" s="112"/>
      <c r="F20" s="112"/>
      <c r="G20" s="112"/>
      <c r="H20" s="112"/>
      <c r="I20" s="112"/>
      <c r="J20" s="112"/>
    </row>
    <row r="21" spans="1:10" x14ac:dyDescent="0.35">
      <c r="A21" t="s">
        <v>173</v>
      </c>
    </row>
    <row r="23" spans="1:10" ht="67.5" customHeight="1" x14ac:dyDescent="0.35">
      <c r="A23" s="111" t="s">
        <v>108</v>
      </c>
      <c r="B23" s="111"/>
      <c r="C23" s="111"/>
      <c r="D23" s="111"/>
      <c r="E23" s="111"/>
      <c r="F23" s="111"/>
      <c r="G23" s="111"/>
      <c r="H23" s="111"/>
      <c r="I23" s="111"/>
    </row>
  </sheetData>
  <mergeCells count="13">
    <mergeCell ref="A23:I23"/>
    <mergeCell ref="A19:J19"/>
    <mergeCell ref="A20:J20"/>
    <mergeCell ref="E1:J1"/>
    <mergeCell ref="A1:A3"/>
    <mergeCell ref="D1:D3"/>
    <mergeCell ref="A17:J17"/>
    <mergeCell ref="A18:J18"/>
    <mergeCell ref="E2:E3"/>
    <mergeCell ref="F2:I2"/>
    <mergeCell ref="J2:J3"/>
    <mergeCell ref="C1:C3"/>
    <mergeCell ref="B1:B3"/>
  </mergeCells>
  <hyperlinks>
    <hyperlink ref="A4" r:id="rId1" location="oelheizung" tooltip="Zur Ölheizung springen" display="https://www.energieheld.de/heizung/kosten - oelheizung" xr:uid="{36AE845E-720E-4C74-8D45-F2811A6F82B7}"/>
    <hyperlink ref="A5" r:id="rId2" location="gasheizung" tooltip="Zur Gasheizung springen" display="https://www.energieheld.de/heizung/kosten - gasheizung" xr:uid="{D3CB5944-C1AC-4964-860E-4C797F71D1EB}"/>
    <hyperlink ref="A6" r:id="rId3" location="pelletheizung" tooltip="Zu den Kosten der Pelletheizung" display="https://www.energieheld.de/heizung/kosten - pelletheizung" xr:uid="{812CA018-C98A-4B80-8CA9-56788EDE2154}"/>
    <hyperlink ref="A7" r:id="rId4" location="holzheizung" tooltip="Zur Hackschnitzelheizung springen" display="https://www.energieheld.de/heizung/kosten - holzheizung" xr:uid="{D76FE52E-12B1-4AAF-9C5F-667975367623}"/>
    <hyperlink ref="A8" r:id="rId5" location="holzheizung" tooltip="Zu den übrigen Holzheizungen" display="https://www.energieheld.de/heizung/kosten - holzheizung" xr:uid="{A16EDD3D-6017-4FB3-987D-4F247F309D6B}"/>
    <hyperlink ref="A9" r:id="rId6" tooltip="Hier erfahren Sie mehr über Wärmepumpen" display="https://www.energieheld.de/heizung/waermepumpe" xr:uid="{3035B383-5302-455D-A4A0-D4F887FC631B}"/>
    <hyperlink ref="A10" r:id="rId7" location="elektroheizung" tooltip="Zu den Elektroheizungen" display="https://www.energieheld.de/heizung/kosten - elektroheizung" xr:uid="{6F3A1A31-09DC-4743-AEE7-1AAB80DFDBDC}"/>
    <hyperlink ref="A11" r:id="rId8" location="elektroheizung" tooltip="Zu den Infrarotheizungen" display="https://www.energieheld.de/heizung/kosten - elektroheizung" xr:uid="{EFA9502E-6EA1-48F6-8684-8D0D8ADD649F}"/>
    <hyperlink ref="A12" r:id="rId9" location="fernwaerme" tooltip="Zur Fernwärme" display="https://www.energieheld.de/heizung/kosten - fernwaerme" xr:uid="{D03DBEA5-2D08-4E40-8DD4-FB355369562A}"/>
    <hyperlink ref="A13" r:id="rId10" location="blockheizkraftwerk" tooltip="Zu den Preisen für BHKW" display="https://www.energieheld.de/heizung/kosten - blockheizkraftwerk" xr:uid="{6BE0316D-81FD-4762-AD8A-C8216744431B}"/>
    <hyperlink ref="A14" r:id="rId11" location="brennstoffzelle" tooltip="Zur Brennstoffzelle springen" display="https://www.energieheld.de/heizung/kosten - brennstoffzelle" xr:uid="{61A927E9-FA42-4308-83A4-103BE661AB71}"/>
    <hyperlink ref="A15" r:id="rId12" location="solarthermie" tooltip="Solarthermie anzeigen" display="https://www.energieheld.de/heizung/kosten - solarthermie" xr:uid="{61EEFD5F-E519-4F37-85B8-07928AEFF19A}"/>
    <hyperlink ref="E1:J1" r:id="rId13" display="Förderung (Quelle: BM für Wirtschaft und Klimaschutz)" xr:uid="{E3503473-20F5-4EBA-8B8D-A68E8DF9C71D}"/>
  </hyperlinks>
  <pageMargins left="0.7" right="0.7" top="0.78740157499999996" bottom="0.78740157499999996" header="0.3" footer="0.3"/>
  <pageSetup paperSize="9" scale="90" orientation="landscape" horizontalDpi="4294967293" r:id="rId14"/>
  <legacyDrawing r:id="rId1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ED462-CAA7-4A7B-A5FC-ADC03F5EDD0C}">
  <dimension ref="A1:U41"/>
  <sheetViews>
    <sheetView view="pageBreakPreview" zoomScale="50" zoomScaleNormal="104" zoomScaleSheetLayoutView="50" workbookViewId="0">
      <selection activeCell="P44" sqref="P44"/>
    </sheetView>
  </sheetViews>
  <sheetFormatPr baseColWidth="10" defaultRowHeight="14.5" x14ac:dyDescent="0.35"/>
  <cols>
    <col min="1" max="1" width="3.7265625" customWidth="1"/>
    <col min="2" max="2" width="27.36328125" customWidth="1"/>
    <col min="3" max="3" width="11.6328125" customWidth="1"/>
    <col min="4" max="4" width="6.36328125" customWidth="1"/>
    <col min="5" max="5" width="7.54296875" style="71" customWidth="1"/>
    <col min="6" max="6" width="13.26953125" customWidth="1"/>
    <col min="7" max="7" width="8.6328125" customWidth="1"/>
    <col min="8" max="8" width="7.7265625" style="71" customWidth="1"/>
    <col min="10" max="10" width="7.36328125" customWidth="1"/>
    <col min="11" max="11" width="9.1796875" style="71" customWidth="1"/>
    <col min="13" max="13" width="8.36328125" customWidth="1"/>
    <col min="14" max="14" width="9.36328125" style="34" customWidth="1"/>
    <col min="16" max="16" width="8.90625" customWidth="1"/>
    <col min="17" max="17" width="8.36328125" style="71" customWidth="1"/>
    <col min="18" max="18" width="3.453125" customWidth="1"/>
    <col min="19" max="19" width="18.1796875" customWidth="1"/>
    <col min="20" max="20" width="10.08984375" customWidth="1"/>
  </cols>
  <sheetData>
    <row r="1" spans="1:21" x14ac:dyDescent="0.35">
      <c r="B1" t="s">
        <v>89</v>
      </c>
      <c r="I1" t="s">
        <v>148</v>
      </c>
      <c r="N1" s="71">
        <v>3000</v>
      </c>
    </row>
    <row r="2" spans="1:21" ht="15" thickBot="1" x14ac:dyDescent="0.4">
      <c r="I2" t="s">
        <v>149</v>
      </c>
      <c r="N2" s="71">
        <v>30</v>
      </c>
    </row>
    <row r="3" spans="1:21" s="10" customFormat="1" ht="14.5" customHeight="1" x14ac:dyDescent="0.35">
      <c r="A3" s="24"/>
      <c r="B3" s="27"/>
      <c r="C3" s="121" t="s">
        <v>74</v>
      </c>
      <c r="D3" s="122"/>
      <c r="E3" s="123"/>
      <c r="F3" s="121" t="s">
        <v>75</v>
      </c>
      <c r="G3" s="122"/>
      <c r="H3" s="123"/>
      <c r="I3" s="121" t="s">
        <v>81</v>
      </c>
      <c r="J3" s="122"/>
      <c r="K3" s="123"/>
      <c r="L3" s="124" t="s">
        <v>76</v>
      </c>
      <c r="M3" s="125"/>
      <c r="N3" s="126"/>
      <c r="O3" s="121" t="s">
        <v>163</v>
      </c>
      <c r="P3" s="122"/>
      <c r="Q3" s="123"/>
      <c r="S3" s="120" t="s">
        <v>166</v>
      </c>
      <c r="T3" s="120"/>
    </row>
    <row r="4" spans="1:21" x14ac:dyDescent="0.35">
      <c r="A4" s="87"/>
      <c r="B4" s="88" t="s">
        <v>77</v>
      </c>
      <c r="C4" s="87"/>
      <c r="D4" s="87"/>
      <c r="E4" s="89"/>
      <c r="F4" s="87"/>
      <c r="G4" s="89" t="s">
        <v>82</v>
      </c>
      <c r="H4" s="89"/>
      <c r="I4" s="87"/>
      <c r="J4" s="87">
        <f>'Kosten und CO2-Emissionen 2023'!G7</f>
        <v>26</v>
      </c>
      <c r="K4" s="89"/>
      <c r="L4" s="87"/>
      <c r="M4" s="87"/>
      <c r="N4" s="90"/>
      <c r="O4" s="87"/>
      <c r="P4" s="87"/>
      <c r="Q4" s="89"/>
      <c r="S4" s="91"/>
      <c r="T4" s="91"/>
    </row>
    <row r="5" spans="1:21" x14ac:dyDescent="0.35">
      <c r="A5" s="87"/>
      <c r="B5" s="87"/>
      <c r="C5" s="87"/>
      <c r="D5" s="87"/>
      <c r="E5" s="89"/>
      <c r="F5" s="87"/>
      <c r="G5" s="89" t="s">
        <v>83</v>
      </c>
      <c r="H5" s="89"/>
      <c r="I5" s="87"/>
      <c r="J5" s="87">
        <f>'Kosten und CO2-Emissionen 2023'!G8</f>
        <v>14</v>
      </c>
      <c r="K5" s="89"/>
      <c r="L5" s="87"/>
      <c r="M5" s="87"/>
      <c r="N5" s="90"/>
      <c r="O5" s="87"/>
      <c r="P5" s="87"/>
      <c r="Q5" s="89"/>
      <c r="S5" s="91"/>
      <c r="T5" s="91"/>
    </row>
    <row r="6" spans="1:21" ht="14.5" customHeight="1" x14ac:dyDescent="0.35">
      <c r="A6" s="25"/>
      <c r="B6" s="28" t="s">
        <v>168</v>
      </c>
      <c r="C6" s="30"/>
      <c r="D6" s="25"/>
      <c r="E6" s="73">
        <f>E7+E11+E13+E15+E22</f>
        <v>3860.0033333333331</v>
      </c>
      <c r="F6" s="30"/>
      <c r="G6" s="25"/>
      <c r="H6" s="73">
        <f>H7+H11+H13+H15+H22</f>
        <v>3205.4666666666662</v>
      </c>
      <c r="I6" s="30"/>
      <c r="J6" s="25"/>
      <c r="K6" s="73">
        <f>K7+K11+K13+K15+K22</f>
        <v>3375.8408666666669</v>
      </c>
      <c r="L6" s="30"/>
      <c r="M6" s="25"/>
      <c r="N6" s="35">
        <f>IFERROR(N7+N11+N13+N22,"n.a.")</f>
        <v>3728.9608666666668</v>
      </c>
      <c r="O6" s="30"/>
      <c r="P6" s="25"/>
      <c r="Q6" s="73">
        <f>Q7+Q11+Q13+Q15+Q22</f>
        <v>2960.7254333333335</v>
      </c>
      <c r="S6" s="120" t="s">
        <v>170</v>
      </c>
      <c r="T6" s="120"/>
      <c r="U6" s="10"/>
    </row>
    <row r="7" spans="1:21" x14ac:dyDescent="0.35">
      <c r="A7" s="23" t="s">
        <v>90</v>
      </c>
      <c r="B7" s="29" t="s">
        <v>84</v>
      </c>
      <c r="C7" s="31" t="s">
        <v>85</v>
      </c>
      <c r="D7" s="23">
        <v>13.21</v>
      </c>
      <c r="E7" s="74">
        <f>IF(J5&gt;E8-0.1,J5,E8)*D7*12</f>
        <v>2219.2799999999997</v>
      </c>
      <c r="F7" s="31" t="s">
        <v>154</v>
      </c>
      <c r="G7" s="23">
        <v>33.65</v>
      </c>
      <c r="H7" s="74">
        <f>G7*J5</f>
        <v>471.09999999999997</v>
      </c>
      <c r="I7" s="31" t="s">
        <v>87</v>
      </c>
      <c r="J7" s="23">
        <v>3.53</v>
      </c>
      <c r="K7" s="74">
        <f>IF(J5&gt;K8,J5*J7,K8*J7)*12</f>
        <v>677.76</v>
      </c>
      <c r="L7" s="31" t="s">
        <v>88</v>
      </c>
      <c r="M7" s="23">
        <v>28.32</v>
      </c>
      <c r="N7" s="36">
        <f>IF($J$5&lt;16,M7*$J$5,"n.a.")</f>
        <v>396.48</v>
      </c>
      <c r="O7" s="31" t="s">
        <v>155</v>
      </c>
      <c r="P7" s="23"/>
      <c r="Q7" s="74">
        <f>1474.83</f>
        <v>1474.83</v>
      </c>
      <c r="S7" s="91"/>
      <c r="T7" s="91" t="s">
        <v>156</v>
      </c>
    </row>
    <row r="8" spans="1:21" x14ac:dyDescent="0.35">
      <c r="A8" s="23"/>
      <c r="B8" s="29" t="s">
        <v>78</v>
      </c>
      <c r="C8" s="31" t="s">
        <v>79</v>
      </c>
      <c r="D8" s="23"/>
      <c r="E8" s="74">
        <v>12</v>
      </c>
      <c r="F8" s="31" t="s">
        <v>79</v>
      </c>
      <c r="G8" s="23"/>
      <c r="H8" s="74">
        <v>0</v>
      </c>
      <c r="I8" s="31" t="s">
        <v>79</v>
      </c>
      <c r="J8" s="23"/>
      <c r="K8" s="74">
        <v>16</v>
      </c>
      <c r="L8" s="31" t="s">
        <v>79</v>
      </c>
      <c r="M8" s="23"/>
      <c r="N8" s="36"/>
      <c r="O8" s="31" t="s">
        <v>79</v>
      </c>
      <c r="P8" s="23"/>
      <c r="Q8" s="74" t="s">
        <v>93</v>
      </c>
      <c r="S8" s="91" t="s">
        <v>74</v>
      </c>
      <c r="T8" s="92">
        <f>$E6</f>
        <v>3860.0033333333331</v>
      </c>
    </row>
    <row r="9" spans="1:21" x14ac:dyDescent="0.35">
      <c r="A9" s="23"/>
      <c r="B9" s="29" t="s">
        <v>80</v>
      </c>
      <c r="C9" s="31" t="s">
        <v>79</v>
      </c>
      <c r="D9" s="23"/>
      <c r="E9" s="74" t="s">
        <v>93</v>
      </c>
      <c r="F9" s="31" t="s">
        <v>79</v>
      </c>
      <c r="G9" s="23"/>
      <c r="H9" s="74" t="s">
        <v>93</v>
      </c>
      <c r="I9" s="31" t="s">
        <v>79</v>
      </c>
      <c r="J9" s="23"/>
      <c r="K9" s="74" t="s">
        <v>93</v>
      </c>
      <c r="L9" s="31" t="s">
        <v>79</v>
      </c>
      <c r="M9" s="23"/>
      <c r="N9" s="36">
        <v>16</v>
      </c>
      <c r="O9" s="31" t="s">
        <v>79</v>
      </c>
      <c r="P9" s="23"/>
      <c r="Q9" s="74" t="s">
        <v>93</v>
      </c>
      <c r="S9" s="91" t="s">
        <v>151</v>
      </c>
      <c r="T9" s="92">
        <f>$H6</f>
        <v>3205.4666666666662</v>
      </c>
    </row>
    <row r="10" spans="1:21" ht="10" customHeight="1" x14ac:dyDescent="0.35">
      <c r="A10" s="26"/>
      <c r="B10" s="26"/>
      <c r="C10" s="26"/>
      <c r="D10" s="26"/>
      <c r="E10" s="75"/>
      <c r="F10" s="26"/>
      <c r="G10" s="26"/>
      <c r="H10" s="75"/>
      <c r="I10" s="26"/>
      <c r="J10" s="26"/>
      <c r="K10" s="75"/>
      <c r="L10" s="26"/>
      <c r="M10" s="26"/>
      <c r="N10" s="37"/>
      <c r="O10" s="26"/>
      <c r="P10" s="26"/>
      <c r="Q10" s="75"/>
      <c r="S10" s="91" t="s">
        <v>152</v>
      </c>
      <c r="T10" s="92">
        <f>$K6</f>
        <v>3375.8408666666669</v>
      </c>
    </row>
    <row r="11" spans="1:21" x14ac:dyDescent="0.35">
      <c r="A11" s="23" t="s">
        <v>91</v>
      </c>
      <c r="B11" s="29" t="s">
        <v>92</v>
      </c>
      <c r="C11" s="31" t="s">
        <v>94</v>
      </c>
      <c r="D11" s="23">
        <v>10.17</v>
      </c>
      <c r="E11" s="74">
        <f>D11*12</f>
        <v>122.03999999999999</v>
      </c>
      <c r="F11" s="31" t="s">
        <v>95</v>
      </c>
      <c r="G11" s="23"/>
      <c r="H11" s="74">
        <v>129.4</v>
      </c>
      <c r="I11" s="31" t="s">
        <v>94</v>
      </c>
      <c r="J11" s="23">
        <v>24.46</v>
      </c>
      <c r="K11" s="74">
        <f>J11*12</f>
        <v>293.52</v>
      </c>
      <c r="L11" s="31" t="s">
        <v>94</v>
      </c>
      <c r="M11" s="23">
        <v>24.46</v>
      </c>
      <c r="N11" s="36">
        <f>IF($J$5&lt;16,M11*12,"n.a.")</f>
        <v>293.52</v>
      </c>
      <c r="O11" s="31" t="s">
        <v>94</v>
      </c>
      <c r="P11" s="23">
        <v>0</v>
      </c>
      <c r="Q11" s="74">
        <f>P11*12</f>
        <v>0</v>
      </c>
      <c r="S11" s="91" t="s">
        <v>76</v>
      </c>
      <c r="T11" s="93">
        <f>$N6</f>
        <v>3728.9608666666668</v>
      </c>
    </row>
    <row r="12" spans="1:21" ht="10" customHeight="1" x14ac:dyDescent="0.35">
      <c r="A12" s="26"/>
      <c r="B12" s="26"/>
      <c r="C12" s="26"/>
      <c r="D12" s="26"/>
      <c r="E12" s="75"/>
      <c r="F12" s="26"/>
      <c r="G12" s="26"/>
      <c r="H12" s="75"/>
      <c r="I12" s="26"/>
      <c r="J12" s="26"/>
      <c r="K12" s="75"/>
      <c r="L12" s="26"/>
      <c r="M12" s="26"/>
      <c r="N12" s="37"/>
      <c r="O12" s="26"/>
      <c r="P12" s="26"/>
      <c r="Q12" s="75"/>
      <c r="S12" s="91" t="s">
        <v>153</v>
      </c>
      <c r="T12" s="92">
        <f>$Q6</f>
        <v>2960.7254333333335</v>
      </c>
    </row>
    <row r="13" spans="1:21" x14ac:dyDescent="0.35">
      <c r="A13" s="23" t="s">
        <v>96</v>
      </c>
      <c r="B13" s="29" t="s">
        <v>97</v>
      </c>
      <c r="C13" s="31" t="s">
        <v>98</v>
      </c>
      <c r="D13" s="23">
        <v>4.4999999999999998E-2</v>
      </c>
      <c r="E13" s="74">
        <f>D13*$J$4*1000</f>
        <v>1170</v>
      </c>
      <c r="F13" s="31" t="s">
        <v>98</v>
      </c>
      <c r="G13" s="23">
        <f>0.08631/0.9</f>
        <v>9.5899999999999999E-2</v>
      </c>
      <c r="H13" s="74">
        <f>G13*$J$4*1000</f>
        <v>2493.3999999999996</v>
      </c>
      <c r="I13" s="31" t="s">
        <v>98</v>
      </c>
      <c r="J13" s="23">
        <v>7.9100000000000004E-2</v>
      </c>
      <c r="K13" s="74">
        <f>J13*$J$4*1000</f>
        <v>2056.6</v>
      </c>
      <c r="L13" s="31" t="s">
        <v>98</v>
      </c>
      <c r="M13" s="23">
        <v>0.107</v>
      </c>
      <c r="N13" s="36">
        <f>IF($J$5&lt;16,M13*$J$4*1000,"n.a.")</f>
        <v>2782</v>
      </c>
      <c r="O13" s="31" t="s">
        <v>98</v>
      </c>
      <c r="P13" s="23">
        <f>46.56/1000</f>
        <v>4.6560000000000004E-2</v>
      </c>
      <c r="Q13" s="74">
        <f>P13*$J$4*1000</f>
        <v>1210.5600000000002</v>
      </c>
      <c r="S13" s="91"/>
      <c r="T13" s="91"/>
    </row>
    <row r="14" spans="1:21" ht="10" customHeight="1" x14ac:dyDescent="0.35">
      <c r="A14" s="26"/>
      <c r="B14" s="26"/>
      <c r="C14" s="38"/>
      <c r="D14" s="38"/>
      <c r="E14" s="76"/>
      <c r="F14" s="38"/>
      <c r="G14" s="38"/>
      <c r="H14" s="76"/>
      <c r="I14" s="38"/>
      <c r="J14" s="38"/>
      <c r="K14" s="76"/>
      <c r="L14" s="38"/>
      <c r="M14" s="38"/>
      <c r="N14" s="39"/>
      <c r="O14" s="38"/>
      <c r="P14" s="38"/>
      <c r="Q14" s="76"/>
      <c r="S14" s="91"/>
      <c r="T14" s="91"/>
    </row>
    <row r="15" spans="1:21" ht="13.5" customHeight="1" x14ac:dyDescent="0.35">
      <c r="A15" s="26" t="s">
        <v>99</v>
      </c>
      <c r="B15" s="26" t="s">
        <v>107</v>
      </c>
      <c r="C15" s="31"/>
      <c r="D15" s="23"/>
      <c r="E15" s="74"/>
      <c r="F15" s="31"/>
      <c r="G15" s="23"/>
      <c r="H15" s="74"/>
      <c r="I15" s="31" t="s">
        <v>98</v>
      </c>
      <c r="J15" s="23">
        <v>3.5000000000000001E-3</v>
      </c>
      <c r="K15" s="74">
        <f>J15*J4*1000</f>
        <v>91</v>
      </c>
      <c r="L15" s="31" t="s">
        <v>98</v>
      </c>
      <c r="M15" s="23">
        <v>3.5000000000000001E-3</v>
      </c>
      <c r="N15" s="36">
        <f>IF($J5&lt;16,M15*$J$4*1000,"n.a.")</f>
        <v>91</v>
      </c>
      <c r="O15" s="31"/>
      <c r="P15" s="23"/>
      <c r="Q15" s="74"/>
      <c r="S15" s="91"/>
      <c r="T15" s="91"/>
    </row>
    <row r="16" spans="1:21" ht="10" customHeight="1" x14ac:dyDescent="0.35">
      <c r="A16" s="26"/>
      <c r="B16" s="26"/>
      <c r="C16" s="38"/>
      <c r="D16" s="38"/>
      <c r="E16" s="76"/>
      <c r="F16" s="38"/>
      <c r="G16" s="38"/>
      <c r="H16" s="76"/>
      <c r="I16" s="38"/>
      <c r="J16" s="38"/>
      <c r="K16" s="76"/>
      <c r="L16" s="38"/>
      <c r="M16" s="38"/>
      <c r="N16" s="39"/>
      <c r="O16" s="31"/>
      <c r="P16" s="23"/>
      <c r="Q16" s="74"/>
      <c r="S16" s="91"/>
      <c r="T16" s="91"/>
    </row>
    <row r="17" spans="1:20" x14ac:dyDescent="0.35">
      <c r="A17" s="23" t="s">
        <v>99</v>
      </c>
      <c r="B17" s="29" t="s">
        <v>100</v>
      </c>
      <c r="C17" s="31"/>
      <c r="D17" s="23"/>
      <c r="E17" s="74">
        <f>17120+$N$1</f>
        <v>20120</v>
      </c>
      <c r="F17" s="31"/>
      <c r="G17" s="23"/>
      <c r="H17" s="74">
        <f>3210+N1</f>
        <v>6210</v>
      </c>
      <c r="I17" s="31"/>
      <c r="J17" s="23"/>
      <c r="K17" s="74">
        <f>9441.18+N1</f>
        <v>12441.18</v>
      </c>
      <c r="L17" s="31"/>
      <c r="M17" s="23"/>
      <c r="N17" s="36">
        <f>IF($J$5&lt;16,9441.18+N1,"n.a.")</f>
        <v>12441.18</v>
      </c>
      <c r="O17" s="31" t="s">
        <v>111</v>
      </c>
      <c r="P17" s="23"/>
      <c r="Q17" s="74">
        <f>3903.53+(J5-15)*194.64+6291.2+N1</f>
        <v>13000.09</v>
      </c>
      <c r="S17" s="91"/>
      <c r="T17" s="91"/>
    </row>
    <row r="18" spans="1:20" x14ac:dyDescent="0.35">
      <c r="A18" s="23"/>
      <c r="B18" s="29" t="s">
        <v>150</v>
      </c>
      <c r="C18" s="31"/>
      <c r="D18" s="23"/>
      <c r="E18" s="74">
        <v>-1605</v>
      </c>
      <c r="F18" s="31"/>
      <c r="G18" s="23"/>
      <c r="H18" s="74"/>
      <c r="I18" s="31"/>
      <c r="J18" s="23"/>
      <c r="K18" s="74"/>
      <c r="L18" s="31"/>
      <c r="M18" s="23"/>
      <c r="N18" s="36"/>
      <c r="O18" s="31"/>
      <c r="P18" s="23"/>
      <c r="Q18" s="74"/>
      <c r="S18" s="91"/>
      <c r="T18" s="91"/>
    </row>
    <row r="19" spans="1:20" x14ac:dyDescent="0.35">
      <c r="A19" s="23"/>
      <c r="B19" s="29" t="s">
        <v>103</v>
      </c>
      <c r="C19" s="31"/>
      <c r="D19" s="23"/>
      <c r="E19" s="74">
        <v>-2500</v>
      </c>
      <c r="F19" s="31"/>
      <c r="G19" s="23"/>
      <c r="H19" s="74">
        <v>-1000</v>
      </c>
      <c r="I19" s="31"/>
      <c r="J19" s="23"/>
      <c r="K19" s="74">
        <v>-1000</v>
      </c>
      <c r="L19" s="31"/>
      <c r="M19" s="23"/>
      <c r="N19" s="36">
        <v>-1000</v>
      </c>
      <c r="O19" s="31"/>
      <c r="P19" s="23"/>
      <c r="Q19" s="74">
        <f>-MIN(60*J5,1000)</f>
        <v>-840</v>
      </c>
      <c r="S19" s="91"/>
      <c r="T19" s="91"/>
    </row>
    <row r="20" spans="1:20" x14ac:dyDescent="0.35">
      <c r="A20" s="23"/>
      <c r="B20" s="29" t="s">
        <v>102</v>
      </c>
      <c r="C20" s="40">
        <v>0.3</v>
      </c>
      <c r="D20" s="23"/>
      <c r="E20" s="74">
        <f>-(E17+E18)*$C$20</f>
        <v>-5554.5</v>
      </c>
      <c r="F20" s="40"/>
      <c r="G20" s="23"/>
      <c r="H20" s="74">
        <f>-(H17+H18)*$C$20</f>
        <v>-1863</v>
      </c>
      <c r="I20" s="40"/>
      <c r="J20" s="23"/>
      <c r="K20" s="74">
        <f>-(K17+K18)*$C$20</f>
        <v>-3732.3539999999998</v>
      </c>
      <c r="L20" s="40"/>
      <c r="M20" s="23"/>
      <c r="N20" s="36">
        <f>IFERROR(-N17*$C$20,"n.a.")</f>
        <v>-3732.3539999999998</v>
      </c>
      <c r="O20" s="40"/>
      <c r="P20" s="23"/>
      <c r="Q20" s="74">
        <f>-(Q17+Q18)*$C$20</f>
        <v>-3900.027</v>
      </c>
      <c r="S20" s="91"/>
      <c r="T20" s="91"/>
    </row>
    <row r="21" spans="1:20" x14ac:dyDescent="0.35">
      <c r="A21" s="23"/>
      <c r="B21" s="29" t="s">
        <v>101</v>
      </c>
      <c r="C21" s="31"/>
      <c r="D21" s="23"/>
      <c r="E21" s="74">
        <f>SUM(E17:E20)</f>
        <v>10460.5</v>
      </c>
      <c r="F21" s="31"/>
      <c r="G21" s="23"/>
      <c r="H21" s="74">
        <f>SUM(H17:H20)</f>
        <v>3347</v>
      </c>
      <c r="I21" s="31"/>
      <c r="J21" s="23"/>
      <c r="K21" s="74">
        <f>SUM(K17:K20)</f>
        <v>7708.8260000000009</v>
      </c>
      <c r="L21" s="31"/>
      <c r="M21" s="23"/>
      <c r="N21" s="74">
        <f>SUM(N17:N20)</f>
        <v>7708.8260000000009</v>
      </c>
      <c r="O21" s="31"/>
      <c r="P21" s="23"/>
      <c r="Q21" s="74">
        <f>SUM(Q17:Q20)</f>
        <v>8260.0630000000001</v>
      </c>
      <c r="S21" s="91"/>
      <c r="T21" s="91"/>
    </row>
    <row r="22" spans="1:20" ht="15" thickBot="1" x14ac:dyDescent="0.4">
      <c r="A22" s="23"/>
      <c r="B22" s="29" t="s">
        <v>104</v>
      </c>
      <c r="C22" s="72">
        <f>$N$2</f>
        <v>30</v>
      </c>
      <c r="D22" s="33"/>
      <c r="E22" s="77">
        <f>E21/C22</f>
        <v>348.68333333333334</v>
      </c>
      <c r="F22" s="72">
        <f>$N$2</f>
        <v>30</v>
      </c>
      <c r="G22" s="33"/>
      <c r="H22" s="77">
        <f>H21/F22</f>
        <v>111.56666666666666</v>
      </c>
      <c r="I22" s="72">
        <f>$N$2</f>
        <v>30</v>
      </c>
      <c r="J22" s="33"/>
      <c r="K22" s="77">
        <f>K21/I22</f>
        <v>256.96086666666667</v>
      </c>
      <c r="L22" s="72">
        <v>30</v>
      </c>
      <c r="M22" s="33"/>
      <c r="N22" s="77">
        <f>N21/L22</f>
        <v>256.96086666666667</v>
      </c>
      <c r="O22" s="72">
        <f>$N$2</f>
        <v>30</v>
      </c>
      <c r="P22" s="33"/>
      <c r="Q22" s="77">
        <f>Q21/O22</f>
        <v>275.33543333333336</v>
      </c>
      <c r="S22" s="91"/>
      <c r="T22" s="91"/>
    </row>
    <row r="23" spans="1:20" x14ac:dyDescent="0.35">
      <c r="S23" s="91"/>
      <c r="T23" s="91"/>
    </row>
    <row r="24" spans="1:20" x14ac:dyDescent="0.35">
      <c r="A24" s="87"/>
      <c r="B24" s="87" t="s">
        <v>105</v>
      </c>
      <c r="C24" s="87"/>
      <c r="D24" s="87"/>
      <c r="E24" s="89"/>
      <c r="F24" s="87"/>
      <c r="G24" s="89" t="s">
        <v>82</v>
      </c>
      <c r="H24" s="89"/>
      <c r="I24" s="87"/>
      <c r="J24" s="87">
        <f>'Kosten und CO2-Emissionen 2023'!G17</f>
        <v>12</v>
      </c>
      <c r="K24" s="89"/>
      <c r="L24" s="87"/>
      <c r="M24" s="87"/>
      <c r="N24" s="90"/>
      <c r="O24" s="87"/>
      <c r="P24" s="87"/>
      <c r="Q24" s="89"/>
      <c r="S24" s="91"/>
      <c r="T24" s="91"/>
    </row>
    <row r="25" spans="1:20" x14ac:dyDescent="0.35">
      <c r="A25" s="87"/>
      <c r="B25" s="87"/>
      <c r="C25" s="87"/>
      <c r="D25" s="87"/>
      <c r="E25" s="89"/>
      <c r="F25" s="87"/>
      <c r="G25" s="89" t="s">
        <v>83</v>
      </c>
      <c r="H25" s="89"/>
      <c r="I25" s="87"/>
      <c r="J25" s="87">
        <f>'Kosten und CO2-Emissionen 2023'!G18</f>
        <v>7</v>
      </c>
      <c r="K25" s="89"/>
      <c r="L25" s="87"/>
      <c r="M25" s="87"/>
      <c r="N25" s="90"/>
      <c r="O25" s="87"/>
      <c r="P25" s="87"/>
      <c r="Q25" s="89"/>
      <c r="S25" s="91"/>
      <c r="T25" s="91"/>
    </row>
    <row r="26" spans="1:20" x14ac:dyDescent="0.35">
      <c r="A26" s="25"/>
      <c r="B26" s="28" t="s">
        <v>169</v>
      </c>
      <c r="C26" s="30"/>
      <c r="D26" s="25"/>
      <c r="E26" s="73">
        <f>E27+E31+E33+E35+E41</f>
        <v>3246.5466666666671</v>
      </c>
      <c r="F26" s="30"/>
      <c r="G26" s="25"/>
      <c r="H26" s="73">
        <f>H27+H31+H33+H35+H41</f>
        <v>1618.8833333333334</v>
      </c>
      <c r="I26" s="30"/>
      <c r="J26" s="25"/>
      <c r="K26" s="73">
        <f>K27+K31+K33+K35+K41</f>
        <v>2356.4017333333336</v>
      </c>
      <c r="L26" s="30"/>
      <c r="M26" s="25"/>
      <c r="N26" s="73">
        <f>N27+N31+N33+N35+N41</f>
        <v>2352.2017333333333</v>
      </c>
      <c r="O26" s="30"/>
      <c r="P26" s="25"/>
      <c r="Q26" s="73">
        <f>Q27+Q31+Q33+Q35+Q41</f>
        <v>2344.746533333333</v>
      </c>
      <c r="S26" s="120" t="s">
        <v>171</v>
      </c>
      <c r="T26" s="120"/>
    </row>
    <row r="27" spans="1:20" x14ac:dyDescent="0.35">
      <c r="A27" s="23" t="s">
        <v>90</v>
      </c>
      <c r="B27" s="29" t="s">
        <v>84</v>
      </c>
      <c r="C27" s="31" t="s">
        <v>85</v>
      </c>
      <c r="D27" s="23">
        <v>13.21</v>
      </c>
      <c r="E27" s="74">
        <f>IF(J25&gt;E28-0.1,J25,E28)*D27*12</f>
        <v>1902.2400000000002</v>
      </c>
      <c r="F27" s="31" t="s">
        <v>86</v>
      </c>
      <c r="G27" s="23">
        <v>33.65</v>
      </c>
      <c r="H27" s="74">
        <f>G27*J25</f>
        <v>235.54999999999998</v>
      </c>
      <c r="I27" s="31" t="s">
        <v>87</v>
      </c>
      <c r="J27" s="23">
        <v>3.53</v>
      </c>
      <c r="K27" s="74">
        <f>IF(J25&gt;K28,J25*J27,K28*J27)*12</f>
        <v>677.76</v>
      </c>
      <c r="L27" s="31" t="s">
        <v>88</v>
      </c>
      <c r="M27" s="23">
        <v>28.23</v>
      </c>
      <c r="N27" s="74">
        <f>IF($J$25&lt;16,M27*12,"n.a.")</f>
        <v>338.76</v>
      </c>
      <c r="O27" s="31" t="s">
        <v>110</v>
      </c>
      <c r="P27" s="23"/>
      <c r="Q27" s="74">
        <v>1349.48</v>
      </c>
      <c r="S27" s="91"/>
      <c r="T27" s="91" t="s">
        <v>156</v>
      </c>
    </row>
    <row r="28" spans="1:20" x14ac:dyDescent="0.35">
      <c r="A28" s="23"/>
      <c r="B28" s="29" t="s">
        <v>78</v>
      </c>
      <c r="C28" s="31" t="s">
        <v>79</v>
      </c>
      <c r="D28" s="23"/>
      <c r="E28" s="74">
        <v>12</v>
      </c>
      <c r="F28" s="31" t="s">
        <v>79</v>
      </c>
      <c r="G28" s="23"/>
      <c r="H28" s="74">
        <v>0</v>
      </c>
      <c r="I28" s="31" t="s">
        <v>79</v>
      </c>
      <c r="J28" s="23"/>
      <c r="K28" s="74">
        <v>16</v>
      </c>
      <c r="L28" s="31" t="s">
        <v>79</v>
      </c>
      <c r="M28" s="23"/>
      <c r="N28" s="74"/>
      <c r="O28" s="31" t="s">
        <v>79</v>
      </c>
      <c r="P28" s="23"/>
      <c r="Q28" s="74" t="s">
        <v>93</v>
      </c>
      <c r="S28" s="91" t="s">
        <v>74</v>
      </c>
      <c r="T28" s="92">
        <f>$E26</f>
        <v>3246.5466666666671</v>
      </c>
    </row>
    <row r="29" spans="1:20" x14ac:dyDescent="0.35">
      <c r="A29" s="23"/>
      <c r="B29" s="29" t="s">
        <v>80</v>
      </c>
      <c r="C29" s="31" t="s">
        <v>79</v>
      </c>
      <c r="D29" s="23"/>
      <c r="E29" s="74" t="s">
        <v>93</v>
      </c>
      <c r="F29" s="31" t="s">
        <v>79</v>
      </c>
      <c r="G29" s="23"/>
      <c r="H29" s="74" t="s">
        <v>93</v>
      </c>
      <c r="I29" s="31" t="s">
        <v>79</v>
      </c>
      <c r="J29" s="23"/>
      <c r="K29" s="74" t="s">
        <v>93</v>
      </c>
      <c r="L29" s="31" t="s">
        <v>79</v>
      </c>
      <c r="M29" s="23"/>
      <c r="N29" s="74">
        <v>16</v>
      </c>
      <c r="O29" s="31" t="s">
        <v>79</v>
      </c>
      <c r="P29" s="23"/>
      <c r="Q29" s="74" t="s">
        <v>93</v>
      </c>
      <c r="S29" s="91" t="s">
        <v>151</v>
      </c>
      <c r="T29" s="92">
        <f>$H26</f>
        <v>1618.8833333333334</v>
      </c>
    </row>
    <row r="30" spans="1:20" ht="10" customHeight="1" x14ac:dyDescent="0.35">
      <c r="A30" s="26"/>
      <c r="B30" s="26"/>
      <c r="C30" s="26"/>
      <c r="D30" s="26"/>
      <c r="E30" s="75"/>
      <c r="F30" s="26"/>
      <c r="G30" s="26"/>
      <c r="H30" s="75"/>
      <c r="I30" s="26"/>
      <c r="J30" s="26"/>
      <c r="K30" s="75"/>
      <c r="L30" s="26"/>
      <c r="M30" s="26"/>
      <c r="N30" s="75"/>
      <c r="O30" s="26"/>
      <c r="P30" s="26"/>
      <c r="Q30" s="75"/>
      <c r="S30" s="91" t="s">
        <v>152</v>
      </c>
      <c r="T30" s="92">
        <f>$K26</f>
        <v>2356.4017333333336</v>
      </c>
    </row>
    <row r="31" spans="1:20" x14ac:dyDescent="0.35">
      <c r="A31" s="23" t="s">
        <v>91</v>
      </c>
      <c r="B31" s="29" t="s">
        <v>92</v>
      </c>
      <c r="C31" s="31" t="s">
        <v>94</v>
      </c>
      <c r="D31" s="23">
        <v>10.17</v>
      </c>
      <c r="E31" s="74">
        <f>D31*12</f>
        <v>122.03999999999999</v>
      </c>
      <c r="F31" s="31" t="s">
        <v>95</v>
      </c>
      <c r="G31" s="23"/>
      <c r="H31" s="74">
        <v>129.4</v>
      </c>
      <c r="I31" s="31" t="s">
        <v>94</v>
      </c>
      <c r="J31" s="23">
        <v>24.46</v>
      </c>
      <c r="K31" s="74">
        <f>J31*12</f>
        <v>293.52</v>
      </c>
      <c r="L31" s="31" t="s">
        <v>94</v>
      </c>
      <c r="M31" s="23">
        <v>24.46</v>
      </c>
      <c r="N31" s="74">
        <f>IF($J$25&lt;16,M31*12,"n.a.")</f>
        <v>293.52</v>
      </c>
      <c r="O31" s="31" t="s">
        <v>94</v>
      </c>
      <c r="P31" s="23">
        <v>0</v>
      </c>
      <c r="Q31" s="74">
        <f>P31*12</f>
        <v>0</v>
      </c>
      <c r="S31" s="91" t="s">
        <v>76</v>
      </c>
      <c r="T31" s="92">
        <f>$N26</f>
        <v>2352.2017333333333</v>
      </c>
    </row>
    <row r="32" spans="1:20" ht="10" customHeight="1" x14ac:dyDescent="0.35">
      <c r="A32" s="26"/>
      <c r="B32" s="26"/>
      <c r="C32" s="26"/>
      <c r="D32" s="26"/>
      <c r="E32" s="75"/>
      <c r="F32" s="26"/>
      <c r="G32" s="26"/>
      <c r="H32" s="75"/>
      <c r="I32" s="26"/>
      <c r="J32" s="26"/>
      <c r="K32" s="75"/>
      <c r="L32" s="26"/>
      <c r="M32" s="26"/>
      <c r="N32" s="75"/>
      <c r="O32" s="26"/>
      <c r="P32" s="26"/>
      <c r="Q32" s="75"/>
      <c r="S32" s="91" t="s">
        <v>153</v>
      </c>
      <c r="T32" s="92">
        <f>$Q26</f>
        <v>2344.746533333333</v>
      </c>
    </row>
    <row r="33" spans="1:20" x14ac:dyDescent="0.35">
      <c r="A33" s="23" t="s">
        <v>96</v>
      </c>
      <c r="B33" s="29" t="s">
        <v>97</v>
      </c>
      <c r="C33" s="31" t="s">
        <v>98</v>
      </c>
      <c r="D33" s="23">
        <v>4.4999999999999998E-2</v>
      </c>
      <c r="E33" s="74">
        <f>D33*$J$24*1000</f>
        <v>540</v>
      </c>
      <c r="F33" s="31" t="s">
        <v>98</v>
      </c>
      <c r="G33" s="23">
        <f>0.08631/0.9</f>
        <v>9.5899999999999999E-2</v>
      </c>
      <c r="H33" s="74">
        <f>G33*$J$24*1000</f>
        <v>1150.8</v>
      </c>
      <c r="I33" s="31" t="s">
        <v>98</v>
      </c>
      <c r="J33" s="23">
        <v>7.9100000000000004E-2</v>
      </c>
      <c r="K33" s="74">
        <f>J33*$J$24*1000</f>
        <v>949.2</v>
      </c>
      <c r="L33" s="31" t="s">
        <v>98</v>
      </c>
      <c r="M33" s="23">
        <v>0.107</v>
      </c>
      <c r="N33" s="74">
        <f>IF($J$25&lt;16,M33*$J$24*1000,"n.a.")</f>
        <v>1284</v>
      </c>
      <c r="O33" s="31" t="s">
        <v>98</v>
      </c>
      <c r="P33" s="23">
        <f>47.18/1000</f>
        <v>4.718E-2</v>
      </c>
      <c r="Q33" s="74">
        <f>P33*$J$24*1000</f>
        <v>566.16</v>
      </c>
      <c r="S33" s="91"/>
      <c r="T33" s="91"/>
    </row>
    <row r="34" spans="1:20" ht="10" customHeight="1" x14ac:dyDescent="0.35">
      <c r="A34" s="26"/>
      <c r="B34" s="26"/>
      <c r="C34" s="38"/>
      <c r="D34" s="38"/>
      <c r="E34" s="76"/>
      <c r="F34" s="38"/>
      <c r="G34" s="38"/>
      <c r="H34" s="76"/>
      <c r="I34" s="38"/>
      <c r="J34" s="38"/>
      <c r="K34" s="76"/>
      <c r="L34" s="38"/>
      <c r="M34" s="38"/>
      <c r="N34" s="76"/>
      <c r="O34" s="38"/>
      <c r="P34" s="38"/>
      <c r="Q34" s="76"/>
      <c r="S34" s="91"/>
      <c r="T34" s="91"/>
    </row>
    <row r="35" spans="1:20" ht="13.5" customHeight="1" x14ac:dyDescent="0.35">
      <c r="A35" s="26" t="s">
        <v>99</v>
      </c>
      <c r="B35" s="26" t="s">
        <v>107</v>
      </c>
      <c r="C35" s="31"/>
      <c r="D35" s="23"/>
      <c r="E35" s="74"/>
      <c r="F35" s="31"/>
      <c r="G35" s="23"/>
      <c r="H35" s="74"/>
      <c r="I35" s="31" t="s">
        <v>98</v>
      </c>
      <c r="J35" s="23">
        <v>3.5000000000000001E-3</v>
      </c>
      <c r="K35" s="74">
        <f>IF($J$25&lt;16,J35*$J$24*1000,"n.a.")</f>
        <v>42</v>
      </c>
      <c r="L35" s="31" t="s">
        <v>98</v>
      </c>
      <c r="M35" s="23">
        <v>3.5000000000000001E-3</v>
      </c>
      <c r="N35" s="74">
        <f>IF($J$25&lt;16,M35*$J$24*1000,"n.a.")</f>
        <v>42</v>
      </c>
      <c r="O35" s="31"/>
      <c r="P35" s="23"/>
      <c r="Q35" s="74"/>
      <c r="S35" s="91"/>
      <c r="T35" s="91"/>
    </row>
    <row r="36" spans="1:20" ht="10" customHeight="1" x14ac:dyDescent="0.35">
      <c r="A36" s="26"/>
      <c r="B36" s="26"/>
      <c r="C36" s="38"/>
      <c r="D36" s="38"/>
      <c r="E36" s="76"/>
      <c r="F36" s="38"/>
      <c r="G36" s="38"/>
      <c r="H36" s="76"/>
      <c r="I36" s="38"/>
      <c r="J36" s="38"/>
      <c r="K36" s="76"/>
      <c r="L36" s="38"/>
      <c r="M36" s="38"/>
      <c r="N36" s="76"/>
      <c r="O36" s="31"/>
      <c r="P36" s="23"/>
      <c r="Q36" s="74"/>
      <c r="S36" s="91"/>
      <c r="T36" s="91"/>
    </row>
    <row r="37" spans="1:20" ht="15.5" customHeight="1" x14ac:dyDescent="0.35">
      <c r="A37" s="26" t="s">
        <v>106</v>
      </c>
      <c r="B37" s="26" t="s">
        <v>100</v>
      </c>
      <c r="C37" s="31" t="s">
        <v>63</v>
      </c>
      <c r="D37" s="23"/>
      <c r="E37" s="74">
        <v>17120</v>
      </c>
      <c r="F37" s="31"/>
      <c r="G37" s="23"/>
      <c r="H37" s="74">
        <v>3210</v>
      </c>
      <c r="I37" s="31"/>
      <c r="J37" s="23"/>
      <c r="K37" s="74">
        <v>9441.18</v>
      </c>
      <c r="L37" s="31"/>
      <c r="M37" s="23"/>
      <c r="N37" s="74">
        <f>IF($J$25&lt;N29,9441.18,"n.a.")</f>
        <v>9441.18</v>
      </c>
      <c r="O37" s="31" t="s">
        <v>111</v>
      </c>
      <c r="P37" s="23"/>
      <c r="Q37" s="74">
        <f>3903.53+5711.61</f>
        <v>9615.14</v>
      </c>
      <c r="S37" s="91"/>
      <c r="T37" s="91"/>
    </row>
    <row r="38" spans="1:20" x14ac:dyDescent="0.35">
      <c r="A38" s="23"/>
      <c r="B38" s="29" t="s">
        <v>103</v>
      </c>
      <c r="C38" s="31" t="s">
        <v>63</v>
      </c>
      <c r="D38" s="23"/>
      <c r="E38" s="74">
        <v>-2500</v>
      </c>
      <c r="F38" s="31"/>
      <c r="G38" s="23"/>
      <c r="H38" s="74">
        <v>-1000</v>
      </c>
      <c r="I38" s="31"/>
      <c r="J38" s="23"/>
      <c r="K38" s="74">
        <v>-1000</v>
      </c>
      <c r="L38" s="31"/>
      <c r="M38" s="23"/>
      <c r="N38" s="74">
        <v>-1000</v>
      </c>
      <c r="O38" s="31"/>
      <c r="P38" s="23"/>
      <c r="Q38" s="74">
        <f>-MIN(60*J25,1000)</f>
        <v>-420</v>
      </c>
      <c r="S38" s="91"/>
      <c r="T38" s="91"/>
    </row>
    <row r="39" spans="1:20" x14ac:dyDescent="0.35">
      <c r="A39" s="23"/>
      <c r="B39" s="29" t="s">
        <v>159</v>
      </c>
      <c r="C39" s="40">
        <v>0.25</v>
      </c>
      <c r="D39" s="23"/>
      <c r="E39" s="74">
        <f>-(E37+E38)*$C$20</f>
        <v>-4386</v>
      </c>
      <c r="F39" s="40"/>
      <c r="G39" s="23"/>
      <c r="H39" s="74">
        <f>-(H37+H38)*$C$20</f>
        <v>-663</v>
      </c>
      <c r="I39" s="40"/>
      <c r="J39" s="23"/>
      <c r="K39" s="74">
        <f>-(K37+K38)*$C$20</f>
        <v>-2532.3539999999998</v>
      </c>
      <c r="L39" s="40"/>
      <c r="M39" s="23"/>
      <c r="N39" s="74">
        <f>-(N37+N38)*$C$20</f>
        <v>-2532.3539999999998</v>
      </c>
      <c r="O39" s="40"/>
      <c r="P39" s="23"/>
      <c r="Q39" s="74">
        <f>-(Q37+Q38)*$C$20</f>
        <v>-2758.5419999999999</v>
      </c>
      <c r="S39" s="91"/>
      <c r="T39" s="91"/>
    </row>
    <row r="40" spans="1:20" x14ac:dyDescent="0.35">
      <c r="A40" s="23"/>
      <c r="B40" s="29" t="s">
        <v>101</v>
      </c>
      <c r="C40" s="31" t="s">
        <v>63</v>
      </c>
      <c r="D40" s="23"/>
      <c r="E40" s="74">
        <f>SUM(E36:E39)</f>
        <v>10234</v>
      </c>
      <c r="F40" s="31"/>
      <c r="G40" s="23"/>
      <c r="H40" s="74">
        <f>SUM(H36:H39)</f>
        <v>1547</v>
      </c>
      <c r="I40" s="31"/>
      <c r="J40" s="23"/>
      <c r="K40" s="74">
        <f>SUM(K36:K39)</f>
        <v>5908.8260000000009</v>
      </c>
      <c r="L40" s="31"/>
      <c r="M40" s="23"/>
      <c r="N40" s="74">
        <f>SUM(N36:N39)</f>
        <v>5908.8260000000009</v>
      </c>
      <c r="O40" s="31"/>
      <c r="P40" s="23"/>
      <c r="Q40" s="74">
        <f>SUM(Q37:Q39)</f>
        <v>6436.598</v>
      </c>
      <c r="S40" s="91"/>
      <c r="T40" s="91"/>
    </row>
    <row r="41" spans="1:20" ht="15" thickBot="1" x14ac:dyDescent="0.4">
      <c r="A41" s="23"/>
      <c r="B41" s="29" t="s">
        <v>104</v>
      </c>
      <c r="C41" s="32">
        <v>15</v>
      </c>
      <c r="D41" s="33"/>
      <c r="E41" s="77">
        <f>E40/C41</f>
        <v>682.26666666666665</v>
      </c>
      <c r="F41" s="32">
        <v>15</v>
      </c>
      <c r="G41" s="33"/>
      <c r="H41" s="77">
        <f>H40/F41</f>
        <v>103.13333333333334</v>
      </c>
      <c r="I41" s="32">
        <v>15</v>
      </c>
      <c r="J41" s="33"/>
      <c r="K41" s="77">
        <f>K40/I41</f>
        <v>393.92173333333341</v>
      </c>
      <c r="L41" s="32">
        <v>15</v>
      </c>
      <c r="M41" s="33"/>
      <c r="N41" s="77">
        <f>N40/L41</f>
        <v>393.92173333333341</v>
      </c>
      <c r="O41" s="32">
        <v>15</v>
      </c>
      <c r="P41" s="33"/>
      <c r="Q41" s="77">
        <f>Q40/O41</f>
        <v>429.10653333333335</v>
      </c>
      <c r="S41" s="91"/>
      <c r="T41" s="91"/>
    </row>
  </sheetData>
  <mergeCells count="8">
    <mergeCell ref="S26:T26"/>
    <mergeCell ref="S3:T3"/>
    <mergeCell ref="O3:Q3"/>
    <mergeCell ref="C3:E3"/>
    <mergeCell ref="F3:H3"/>
    <mergeCell ref="I3:K3"/>
    <mergeCell ref="L3:N3"/>
    <mergeCell ref="S6:T6"/>
  </mergeCells>
  <hyperlinks>
    <hyperlink ref="C3:E3" r:id="rId1" display="Gräfelfing" xr:uid="{FFC32176-21FB-4080-BADC-F380E091B6C8}"/>
    <hyperlink ref="F3:H3" r:id="rId2" display="Grünwald " xr:uid="{49EB3054-3EE3-4306-B4F8-F43DFDBC479E}"/>
    <hyperlink ref="I3:K3" r:id="rId3" display="Unterhaching normal" xr:uid="{611E8F9A-2E6B-480A-9974-ECF97007F649}"/>
    <hyperlink ref="O3:Q3" r:id="rId4" display="Pullach (VbH = 1000 bis 1200)" xr:uid="{EA7A25AC-97C4-4E33-A28A-EE7D02A55A66}"/>
  </hyperlinks>
  <pageMargins left="0.7" right="0.7" top="0.78740157499999996" bottom="0.78740157499999996" header="0.3" footer="0.3"/>
  <pageSetup paperSize="9" scale="75" orientation="landscape" horizontalDpi="4294967293" r:id="rId5"/>
  <drawing r:id="rId6"/>
  <legacyDrawing r:id="rId7"/>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CDA2F-CD1C-4BB5-A250-561C19D1D403}">
  <dimension ref="A1:Z19"/>
  <sheetViews>
    <sheetView view="pageBreakPreview" zoomScale="60" zoomScaleNormal="100" workbookViewId="0">
      <selection activeCell="Q22" sqref="Q22"/>
    </sheetView>
  </sheetViews>
  <sheetFormatPr baseColWidth="10" defaultRowHeight="14.5" x14ac:dyDescent="0.35"/>
  <cols>
    <col min="1" max="1" width="21.36328125" customWidth="1"/>
    <col min="2" max="2" width="7.81640625" customWidth="1"/>
    <col min="3" max="3" width="11.36328125" customWidth="1"/>
    <col min="4" max="4" width="1.54296875" customWidth="1"/>
    <col min="5" max="5" width="20.36328125" style="10" customWidth="1"/>
    <col min="6" max="25" width="5.54296875" customWidth="1"/>
    <col min="26" max="26" width="9" style="1" customWidth="1"/>
  </cols>
  <sheetData>
    <row r="1" spans="1:26" ht="23.5" x14ac:dyDescent="0.55000000000000004">
      <c r="A1" s="128" t="s">
        <v>143</v>
      </c>
      <c r="B1" s="128"/>
      <c r="C1" s="128"/>
      <c r="D1" s="128"/>
    </row>
    <row r="2" spans="1:26" x14ac:dyDescent="0.35">
      <c r="B2" s="127"/>
      <c r="C2" s="127"/>
    </row>
    <row r="3" spans="1:26" x14ac:dyDescent="0.35">
      <c r="A3" s="129" t="s">
        <v>57</v>
      </c>
      <c r="B3" s="129" t="s">
        <v>157</v>
      </c>
      <c r="C3" s="129" t="s">
        <v>61</v>
      </c>
      <c r="D3" s="63"/>
      <c r="E3" s="129" t="s">
        <v>144</v>
      </c>
      <c r="F3" s="130">
        <v>2023</v>
      </c>
      <c r="G3" s="130">
        <v>2024</v>
      </c>
      <c r="H3" s="130">
        <v>2025</v>
      </c>
      <c r="I3" s="130">
        <v>2026</v>
      </c>
      <c r="J3" s="130">
        <v>2027</v>
      </c>
      <c r="K3" s="130">
        <v>2028</v>
      </c>
      <c r="L3" s="130">
        <v>2029</v>
      </c>
      <c r="M3" s="130">
        <v>2030</v>
      </c>
      <c r="N3" s="130">
        <v>2031</v>
      </c>
      <c r="O3" s="130">
        <v>2032</v>
      </c>
      <c r="P3" s="130">
        <v>2033</v>
      </c>
      <c r="Q3" s="130">
        <v>2034</v>
      </c>
      <c r="R3" s="130">
        <v>2035</v>
      </c>
      <c r="S3" s="130">
        <v>2036</v>
      </c>
      <c r="T3" s="130">
        <v>2037</v>
      </c>
      <c r="U3" s="130">
        <v>2038</v>
      </c>
      <c r="V3" s="130">
        <v>2039</v>
      </c>
      <c r="W3" s="130">
        <v>2040</v>
      </c>
      <c r="X3" s="130">
        <v>2041</v>
      </c>
      <c r="Y3" s="130">
        <v>2042</v>
      </c>
      <c r="Z3" s="132" t="s">
        <v>124</v>
      </c>
    </row>
    <row r="4" spans="1:26" ht="28.5" customHeight="1" x14ac:dyDescent="0.35">
      <c r="A4" s="129"/>
      <c r="B4" s="129"/>
      <c r="C4" s="129"/>
      <c r="D4" s="63"/>
      <c r="E4" s="129"/>
      <c r="F4" s="131"/>
      <c r="G4" s="131"/>
      <c r="H4" s="131"/>
      <c r="I4" s="131"/>
      <c r="J4" s="131"/>
      <c r="K4" s="131"/>
      <c r="L4" s="131"/>
      <c r="M4" s="131"/>
      <c r="N4" s="131"/>
      <c r="O4" s="131"/>
      <c r="P4" s="131"/>
      <c r="Q4" s="131"/>
      <c r="R4" s="131"/>
      <c r="S4" s="131"/>
      <c r="T4" s="131"/>
      <c r="U4" s="131"/>
      <c r="V4" s="131"/>
      <c r="W4" s="131"/>
      <c r="X4" s="131"/>
      <c r="Y4" s="131"/>
      <c r="Z4" s="133"/>
    </row>
    <row r="5" spans="1:26" ht="29" x14ac:dyDescent="0.35">
      <c r="A5" s="14" t="s">
        <v>53</v>
      </c>
      <c r="B5" s="17">
        <v>10</v>
      </c>
      <c r="C5" s="11" t="s">
        <v>58</v>
      </c>
      <c r="D5" s="64"/>
      <c r="E5" s="10" t="s">
        <v>125</v>
      </c>
      <c r="F5" s="57">
        <f t="shared" ref="F5:F10" si="0">B5</f>
        <v>10</v>
      </c>
      <c r="G5" s="23">
        <f>F5+($W$5-$F$5)/17+G16</f>
        <v>10.226924705882352</v>
      </c>
      <c r="H5" s="23">
        <f t="shared" ref="H5:V5" si="1">G5+($W$5-$F$5)/17+H16</f>
        <v>10.454629411764705</v>
      </c>
      <c r="I5" s="23">
        <f t="shared" si="1"/>
        <v>10.683114117647058</v>
      </c>
      <c r="J5" s="23">
        <f t="shared" si="1"/>
        <v>10.911598823529411</v>
      </c>
      <c r="K5" s="23">
        <f t="shared" si="1"/>
        <v>11.140083529411765</v>
      </c>
      <c r="L5" s="23">
        <f t="shared" si="1"/>
        <v>11.368568235294118</v>
      </c>
      <c r="M5" s="23">
        <f t="shared" si="1"/>
        <v>11.597052941176472</v>
      </c>
      <c r="N5" s="23">
        <f t="shared" si="1"/>
        <v>11.825537647058825</v>
      </c>
      <c r="O5" s="23">
        <f t="shared" si="1"/>
        <v>12.054022352941178</v>
      </c>
      <c r="P5" s="23">
        <f t="shared" si="1"/>
        <v>12.282507058823532</v>
      </c>
      <c r="Q5" s="23">
        <f t="shared" si="1"/>
        <v>12.510991764705885</v>
      </c>
      <c r="R5" s="23">
        <f t="shared" si="1"/>
        <v>12.739476470588238</v>
      </c>
      <c r="S5" s="23">
        <f t="shared" si="1"/>
        <v>12.967961176470592</v>
      </c>
      <c r="T5" s="23">
        <f t="shared" si="1"/>
        <v>13.196445882352945</v>
      </c>
      <c r="U5" s="23">
        <f t="shared" si="1"/>
        <v>13.424930588235299</v>
      </c>
      <c r="V5" s="23">
        <f t="shared" si="1"/>
        <v>13.653415294117652</v>
      </c>
      <c r="W5" s="23">
        <f>W6*F5/F6+W16</f>
        <v>13.804679999999999</v>
      </c>
      <c r="X5" s="23">
        <f>W5</f>
        <v>13.804679999999999</v>
      </c>
      <c r="Y5" s="23">
        <f>X5</f>
        <v>13.804679999999999</v>
      </c>
      <c r="Z5" s="2">
        <f>Y5/F5-1</f>
        <v>0.38046800000000003</v>
      </c>
    </row>
    <row r="6" spans="1:26" x14ac:dyDescent="0.35">
      <c r="A6" s="14" t="s">
        <v>54</v>
      </c>
      <c r="B6" s="17">
        <v>12</v>
      </c>
      <c r="C6" s="16" t="s">
        <v>62</v>
      </c>
      <c r="D6" s="64"/>
      <c r="E6" s="16" t="s">
        <v>136</v>
      </c>
      <c r="F6" s="57">
        <f t="shared" si="0"/>
        <v>12</v>
      </c>
      <c r="G6" s="58">
        <v>12.07</v>
      </c>
      <c r="H6" s="23">
        <f>G6+($W$6-$G$6)/16</f>
        <v>12.350625000000001</v>
      </c>
      <c r="I6" s="23">
        <f t="shared" ref="I6:V6" si="2">H6+($W$6-$G$6)/16</f>
        <v>12.631250000000001</v>
      </c>
      <c r="J6" s="23">
        <f t="shared" si="2"/>
        <v>12.911875000000002</v>
      </c>
      <c r="K6" s="23">
        <f t="shared" si="2"/>
        <v>13.192500000000003</v>
      </c>
      <c r="L6" s="23">
        <f t="shared" si="2"/>
        <v>13.473125000000003</v>
      </c>
      <c r="M6" s="23">
        <f t="shared" si="2"/>
        <v>13.753750000000004</v>
      </c>
      <c r="N6" s="23">
        <f t="shared" si="2"/>
        <v>14.034375000000004</v>
      </c>
      <c r="O6" s="23">
        <f t="shared" si="2"/>
        <v>14.315000000000005</v>
      </c>
      <c r="P6" s="23">
        <f t="shared" si="2"/>
        <v>14.595625000000005</v>
      </c>
      <c r="Q6" s="23">
        <f t="shared" si="2"/>
        <v>14.876250000000006</v>
      </c>
      <c r="R6" s="23">
        <f t="shared" si="2"/>
        <v>15.156875000000007</v>
      </c>
      <c r="S6" s="23">
        <f t="shared" si="2"/>
        <v>15.437500000000007</v>
      </c>
      <c r="T6" s="23">
        <f t="shared" si="2"/>
        <v>15.718125000000008</v>
      </c>
      <c r="U6" s="23">
        <f t="shared" si="2"/>
        <v>15.998750000000008</v>
      </c>
      <c r="V6" s="23">
        <f t="shared" si="2"/>
        <v>16.279375000000009</v>
      </c>
      <c r="W6" s="58">
        <v>16.559999999999999</v>
      </c>
      <c r="X6" s="23">
        <f>(W6+Y6)/2</f>
        <v>16.545000000000002</v>
      </c>
      <c r="Y6" s="58">
        <v>16.53</v>
      </c>
      <c r="Z6" s="2">
        <f>Y6/F6-1</f>
        <v>0.37750000000000017</v>
      </c>
    </row>
    <row r="7" spans="1:26" ht="29" x14ac:dyDescent="0.35">
      <c r="A7" s="14" t="s">
        <v>59</v>
      </c>
      <c r="B7" s="17">
        <f>41/4.8</f>
        <v>8.5416666666666679</v>
      </c>
      <c r="C7" s="11" t="s">
        <v>60</v>
      </c>
      <c r="D7" s="64"/>
      <c r="E7" s="10" t="s">
        <v>56</v>
      </c>
      <c r="F7" s="59">
        <f t="shared" si="0"/>
        <v>8.5416666666666679</v>
      </c>
      <c r="G7" s="59">
        <f>F7</f>
        <v>8.5416666666666679</v>
      </c>
      <c r="H7" s="59">
        <f t="shared" ref="H7:Y7" si="3">G7</f>
        <v>8.5416666666666679</v>
      </c>
      <c r="I7" s="59">
        <f t="shared" si="3"/>
        <v>8.5416666666666679</v>
      </c>
      <c r="J7" s="59">
        <f t="shared" si="3"/>
        <v>8.5416666666666679</v>
      </c>
      <c r="K7" s="59">
        <f t="shared" si="3"/>
        <v>8.5416666666666679</v>
      </c>
      <c r="L7" s="59">
        <f t="shared" si="3"/>
        <v>8.5416666666666679</v>
      </c>
      <c r="M7" s="59">
        <f t="shared" si="3"/>
        <v>8.5416666666666679</v>
      </c>
      <c r="N7" s="59">
        <f t="shared" si="3"/>
        <v>8.5416666666666679</v>
      </c>
      <c r="O7" s="59">
        <f t="shared" si="3"/>
        <v>8.5416666666666679</v>
      </c>
      <c r="P7" s="59">
        <f t="shared" si="3"/>
        <v>8.5416666666666679</v>
      </c>
      <c r="Q7" s="59">
        <f t="shared" si="3"/>
        <v>8.5416666666666679</v>
      </c>
      <c r="R7" s="59">
        <f t="shared" si="3"/>
        <v>8.5416666666666679</v>
      </c>
      <c r="S7" s="59">
        <f t="shared" si="3"/>
        <v>8.5416666666666679</v>
      </c>
      <c r="T7" s="59">
        <f t="shared" si="3"/>
        <v>8.5416666666666679</v>
      </c>
      <c r="U7" s="59">
        <f t="shared" si="3"/>
        <v>8.5416666666666679</v>
      </c>
      <c r="V7" s="59">
        <f t="shared" si="3"/>
        <v>8.5416666666666679</v>
      </c>
      <c r="W7" s="59">
        <f t="shared" si="3"/>
        <v>8.5416666666666679</v>
      </c>
      <c r="X7" s="59">
        <f t="shared" si="3"/>
        <v>8.5416666666666679</v>
      </c>
      <c r="Y7" s="59">
        <f t="shared" si="3"/>
        <v>8.5416666666666679</v>
      </c>
      <c r="Z7" s="2">
        <f t="shared" ref="Z7:Z16" si="4">Y7/F7-1</f>
        <v>0</v>
      </c>
    </row>
    <row r="8" spans="1:26" ht="43.5" x14ac:dyDescent="0.35">
      <c r="A8" s="14" t="s">
        <v>55</v>
      </c>
      <c r="B8" s="17">
        <v>35</v>
      </c>
      <c r="C8" s="11" t="s">
        <v>186</v>
      </c>
      <c r="D8" s="64"/>
      <c r="E8" s="16" t="s">
        <v>136</v>
      </c>
      <c r="F8" s="57">
        <f t="shared" si="0"/>
        <v>35</v>
      </c>
      <c r="G8" s="58">
        <v>37</v>
      </c>
      <c r="H8" s="58">
        <v>37</v>
      </c>
      <c r="I8" s="23">
        <f>H8+($Y$8-$H$8)/17</f>
        <v>37.192352941176473</v>
      </c>
      <c r="J8" s="23">
        <f t="shared" ref="J8:X8" si="5">I8+($Y$8-$H$8)/17</f>
        <v>37.384705882352947</v>
      </c>
      <c r="K8" s="23">
        <f t="shared" si="5"/>
        <v>37.57705882352942</v>
      </c>
      <c r="L8" s="23">
        <f t="shared" si="5"/>
        <v>37.769411764705893</v>
      </c>
      <c r="M8" s="23">
        <f t="shared" si="5"/>
        <v>37.961764705882366</v>
      </c>
      <c r="N8" s="23">
        <f t="shared" si="5"/>
        <v>38.15411764705884</v>
      </c>
      <c r="O8" s="23">
        <f t="shared" si="5"/>
        <v>38.346470588235313</v>
      </c>
      <c r="P8" s="23">
        <f t="shared" si="5"/>
        <v>38.538823529411786</v>
      </c>
      <c r="Q8" s="23">
        <f t="shared" si="5"/>
        <v>38.73117647058826</v>
      </c>
      <c r="R8" s="23">
        <f t="shared" si="5"/>
        <v>38.923529411764733</v>
      </c>
      <c r="S8" s="23">
        <f t="shared" si="5"/>
        <v>39.115882352941206</v>
      </c>
      <c r="T8" s="23">
        <f t="shared" si="5"/>
        <v>39.308235294117679</v>
      </c>
      <c r="U8" s="23">
        <f t="shared" si="5"/>
        <v>39.500588235294153</v>
      </c>
      <c r="V8" s="23">
        <f t="shared" si="5"/>
        <v>39.692941176470626</v>
      </c>
      <c r="W8" s="23">
        <f t="shared" si="5"/>
        <v>39.885294117647099</v>
      </c>
      <c r="X8" s="23">
        <f t="shared" si="5"/>
        <v>40.077647058823572</v>
      </c>
      <c r="Y8" s="58">
        <v>40.270000000000003</v>
      </c>
      <c r="Z8" s="2">
        <f t="shared" si="4"/>
        <v>0.15057142857142858</v>
      </c>
    </row>
    <row r="9" spans="1:26" ht="43.5" x14ac:dyDescent="0.35">
      <c r="A9" s="14" t="s">
        <v>140</v>
      </c>
      <c r="B9" s="17">
        <v>4.5</v>
      </c>
      <c r="C9" s="16" t="s">
        <v>137</v>
      </c>
      <c r="E9" s="14" t="s">
        <v>145</v>
      </c>
      <c r="F9" s="59">
        <f t="shared" si="0"/>
        <v>4.5</v>
      </c>
      <c r="G9" s="23">
        <f>F9+90%*(G8-F8)/F8*F9</f>
        <v>4.7314285714285713</v>
      </c>
      <c r="H9" s="23">
        <f t="shared" ref="H9:Y9" si="6">G9+90%*(H8-G8)/G8*G9</f>
        <v>4.7314285714285713</v>
      </c>
      <c r="I9" s="23">
        <f t="shared" si="6"/>
        <v>4.7535662411991826</v>
      </c>
      <c r="J9" s="23">
        <f t="shared" si="6"/>
        <v>4.7756924617186591</v>
      </c>
      <c r="K9" s="23">
        <f t="shared" si="6"/>
        <v>4.797807297786945</v>
      </c>
      <c r="L9" s="23">
        <f t="shared" si="6"/>
        <v>4.8199108135074056</v>
      </c>
      <c r="M9" s="23">
        <f t="shared" si="6"/>
        <v>4.8420030722978247</v>
      </c>
      <c r="N9" s="23">
        <f t="shared" si="6"/>
        <v>4.8640841369011758</v>
      </c>
      <c r="O9" s="23">
        <f t="shared" si="6"/>
        <v>4.8861540693961656</v>
      </c>
      <c r="P9" s="23">
        <f t="shared" si="6"/>
        <v>4.9082129312075651</v>
      </c>
      <c r="Q9" s="23">
        <f t="shared" si="6"/>
        <v>4.9302607831163261</v>
      </c>
      <c r="R9" s="23">
        <f t="shared" si="6"/>
        <v>4.952297685269496</v>
      </c>
      <c r="S9" s="23">
        <f t="shared" si="6"/>
        <v>4.9743236971899254</v>
      </c>
      <c r="T9" s="23">
        <f t="shared" si="6"/>
        <v>4.9963388777857869</v>
      </c>
      <c r="U9" s="23">
        <f t="shared" si="6"/>
        <v>5.0183432853598973</v>
      </c>
      <c r="V9" s="23">
        <f t="shared" si="6"/>
        <v>5.0403369776188578</v>
      </c>
      <c r="W9" s="23">
        <f t="shared" si="6"/>
        <v>5.062320011682008</v>
      </c>
      <c r="X9" s="23">
        <f t="shared" si="6"/>
        <v>5.0842924440902086</v>
      </c>
      <c r="Y9" s="23">
        <f t="shared" si="6"/>
        <v>5.1062543308144415</v>
      </c>
      <c r="Z9" s="2">
        <f t="shared" si="4"/>
        <v>0.13472318462543154</v>
      </c>
    </row>
    <row r="10" spans="1:26" ht="43.5" x14ac:dyDescent="0.35">
      <c r="A10" s="14" t="s">
        <v>141</v>
      </c>
      <c r="B10" s="17">
        <v>13.2</v>
      </c>
      <c r="C10" s="16" t="s">
        <v>137</v>
      </c>
      <c r="E10" s="14" t="s">
        <v>146</v>
      </c>
      <c r="F10" s="59">
        <f t="shared" si="0"/>
        <v>13.2</v>
      </c>
      <c r="G10" s="23">
        <f t="shared" ref="G10:Y10" si="7">F10+F10*(60%*$E$18+20%*$E$19)</f>
        <v>13.411199999999999</v>
      </c>
      <c r="H10" s="23">
        <f t="shared" si="7"/>
        <v>13.625779199999998</v>
      </c>
      <c r="I10" s="23">
        <f t="shared" si="7"/>
        <v>13.843791667199998</v>
      </c>
      <c r="J10" s="23">
        <f t="shared" si="7"/>
        <v>14.065292333875197</v>
      </c>
      <c r="K10" s="23">
        <f t="shared" si="7"/>
        <v>14.290337011217201</v>
      </c>
      <c r="L10" s="23">
        <f t="shared" si="7"/>
        <v>14.518982403396675</v>
      </c>
      <c r="M10" s="23">
        <f t="shared" si="7"/>
        <v>14.751286121851022</v>
      </c>
      <c r="N10" s="23">
        <f t="shared" si="7"/>
        <v>14.987306699800639</v>
      </c>
      <c r="O10" s="23">
        <f t="shared" si="7"/>
        <v>15.227103606997449</v>
      </c>
      <c r="P10" s="23">
        <f t="shared" si="7"/>
        <v>15.470737264709408</v>
      </c>
      <c r="Q10" s="23">
        <f t="shared" si="7"/>
        <v>15.718269060944758</v>
      </c>
      <c r="R10" s="23">
        <f t="shared" si="7"/>
        <v>15.969761365919874</v>
      </c>
      <c r="S10" s="23">
        <f t="shared" si="7"/>
        <v>16.225277547774592</v>
      </c>
      <c r="T10" s="23">
        <f t="shared" si="7"/>
        <v>16.484881988538987</v>
      </c>
      <c r="U10" s="23">
        <f t="shared" si="7"/>
        <v>16.748640100355612</v>
      </c>
      <c r="V10" s="23">
        <f t="shared" si="7"/>
        <v>17.016618341961301</v>
      </c>
      <c r="W10" s="23">
        <f t="shared" si="7"/>
        <v>17.288884235432683</v>
      </c>
      <c r="X10" s="23">
        <f t="shared" si="7"/>
        <v>17.565506383199605</v>
      </c>
      <c r="Y10" s="23">
        <f t="shared" si="7"/>
        <v>17.846554485330799</v>
      </c>
      <c r="Z10" s="2">
        <f t="shared" si="4"/>
        <v>0.35201170343415145</v>
      </c>
    </row>
    <row r="11" spans="1:26" x14ac:dyDescent="0.35">
      <c r="E11" s="67"/>
      <c r="F11" s="26"/>
      <c r="G11" s="26"/>
      <c r="H11" s="26"/>
      <c r="I11" s="26"/>
      <c r="J11" s="26"/>
      <c r="K11" s="26"/>
      <c r="L11" s="26"/>
      <c r="M11" s="26"/>
      <c r="N11" s="26"/>
      <c r="O11" s="26"/>
      <c r="P11" s="26"/>
      <c r="Q11" s="26"/>
      <c r="R11" s="26"/>
      <c r="S11" s="26"/>
      <c r="T11" s="26"/>
      <c r="U11" s="26"/>
      <c r="V11" s="26"/>
      <c r="W11" s="26"/>
      <c r="X11" s="26"/>
      <c r="Y11" s="26"/>
      <c r="Z11" s="68"/>
    </row>
    <row r="12" spans="1:26" x14ac:dyDescent="0.35">
      <c r="A12" s="65" t="s">
        <v>147</v>
      </c>
      <c r="B12" s="23"/>
      <c r="C12" s="23"/>
      <c r="D12" s="96"/>
      <c r="E12" s="15" t="s">
        <v>120</v>
      </c>
      <c r="F12" s="23">
        <v>30</v>
      </c>
      <c r="G12" s="23">
        <v>40</v>
      </c>
      <c r="H12" s="23">
        <v>50</v>
      </c>
      <c r="I12" s="23">
        <v>60</v>
      </c>
      <c r="J12" s="23">
        <v>60</v>
      </c>
      <c r="K12" s="23">
        <v>60</v>
      </c>
      <c r="L12" s="23">
        <v>60</v>
      </c>
      <c r="M12" s="23">
        <v>60</v>
      </c>
      <c r="N12" s="23">
        <v>60</v>
      </c>
      <c r="O12" s="23">
        <v>60</v>
      </c>
      <c r="P12" s="23">
        <v>60</v>
      </c>
      <c r="Q12" s="23">
        <v>60</v>
      </c>
      <c r="R12" s="23">
        <v>60</v>
      </c>
      <c r="S12" s="23">
        <v>60</v>
      </c>
      <c r="T12" s="23">
        <v>60</v>
      </c>
      <c r="U12" s="23">
        <v>60</v>
      </c>
      <c r="V12" s="23">
        <v>60</v>
      </c>
      <c r="W12" s="23">
        <v>60</v>
      </c>
      <c r="X12" s="23">
        <v>60</v>
      </c>
      <c r="Y12" s="23">
        <v>60</v>
      </c>
      <c r="Z12" s="2">
        <f t="shared" si="4"/>
        <v>1</v>
      </c>
    </row>
    <row r="13" spans="1:26" ht="6" customHeight="1" x14ac:dyDescent="0.35">
      <c r="F13" s="26"/>
      <c r="G13" s="26"/>
      <c r="H13" s="26"/>
      <c r="I13" s="26"/>
      <c r="J13" s="26"/>
      <c r="K13" s="26"/>
      <c r="L13" s="26"/>
      <c r="M13" s="26"/>
      <c r="N13" s="26"/>
      <c r="O13" s="26"/>
      <c r="P13" s="26"/>
      <c r="Q13" s="26"/>
      <c r="R13" s="26"/>
      <c r="S13" s="26"/>
      <c r="T13" s="26"/>
      <c r="U13" s="26"/>
      <c r="V13" s="26"/>
      <c r="W13" s="26"/>
      <c r="X13" s="26"/>
      <c r="Y13" s="26"/>
      <c r="Z13" s="69"/>
    </row>
    <row r="14" spans="1:26" x14ac:dyDescent="0.35">
      <c r="A14" s="23" t="s">
        <v>122</v>
      </c>
      <c r="B14" s="23" t="s">
        <v>121</v>
      </c>
      <c r="C14" s="23"/>
      <c r="D14" s="96"/>
      <c r="E14" s="70">
        <v>0.20200000000000001</v>
      </c>
      <c r="F14" s="60">
        <f>F$12/1000*$E14</f>
        <v>6.0600000000000003E-3</v>
      </c>
      <c r="G14" s="60">
        <f t="shared" ref="G14:Y15" si="8">G$12/1000*$E14</f>
        <v>8.0800000000000004E-3</v>
      </c>
      <c r="H14" s="60">
        <f t="shared" si="8"/>
        <v>1.0100000000000001E-2</v>
      </c>
      <c r="I14" s="60">
        <f t="shared" si="8"/>
        <v>1.2120000000000001E-2</v>
      </c>
      <c r="J14" s="60">
        <f t="shared" si="8"/>
        <v>1.2120000000000001E-2</v>
      </c>
      <c r="K14" s="60">
        <f t="shared" si="8"/>
        <v>1.2120000000000001E-2</v>
      </c>
      <c r="L14" s="60">
        <f t="shared" si="8"/>
        <v>1.2120000000000001E-2</v>
      </c>
      <c r="M14" s="60">
        <f t="shared" si="8"/>
        <v>1.2120000000000001E-2</v>
      </c>
      <c r="N14" s="60">
        <f t="shared" si="8"/>
        <v>1.2120000000000001E-2</v>
      </c>
      <c r="O14" s="60">
        <f t="shared" si="8"/>
        <v>1.2120000000000001E-2</v>
      </c>
      <c r="P14" s="60">
        <f t="shared" si="8"/>
        <v>1.2120000000000001E-2</v>
      </c>
      <c r="Q14" s="60">
        <f t="shared" si="8"/>
        <v>1.2120000000000001E-2</v>
      </c>
      <c r="R14" s="60">
        <f t="shared" si="8"/>
        <v>1.2120000000000001E-2</v>
      </c>
      <c r="S14" s="60">
        <f t="shared" si="8"/>
        <v>1.2120000000000001E-2</v>
      </c>
      <c r="T14" s="60">
        <f t="shared" si="8"/>
        <v>1.2120000000000001E-2</v>
      </c>
      <c r="U14" s="60">
        <f t="shared" si="8"/>
        <v>1.2120000000000001E-2</v>
      </c>
      <c r="V14" s="60">
        <f t="shared" si="8"/>
        <v>1.2120000000000001E-2</v>
      </c>
      <c r="W14" s="60">
        <f t="shared" si="8"/>
        <v>1.2120000000000001E-2</v>
      </c>
      <c r="X14" s="60">
        <f t="shared" si="8"/>
        <v>1.2120000000000001E-2</v>
      </c>
      <c r="Y14" s="60">
        <f t="shared" si="8"/>
        <v>1.2120000000000001E-2</v>
      </c>
      <c r="Z14" s="2">
        <f t="shared" si="4"/>
        <v>1</v>
      </c>
    </row>
    <row r="15" spans="1:26" x14ac:dyDescent="0.35">
      <c r="A15" s="23" t="s">
        <v>123</v>
      </c>
      <c r="B15" s="23" t="s">
        <v>121</v>
      </c>
      <c r="C15" s="23"/>
      <c r="D15" s="96"/>
      <c r="E15" s="70">
        <v>0.28000000000000003</v>
      </c>
      <c r="F15" s="60">
        <f>F$12/1000*$E15</f>
        <v>8.4000000000000012E-3</v>
      </c>
      <c r="G15" s="60">
        <f t="shared" si="8"/>
        <v>1.1200000000000002E-2</v>
      </c>
      <c r="H15" s="60">
        <f t="shared" si="8"/>
        <v>1.4000000000000002E-2</v>
      </c>
      <c r="I15" s="60">
        <f t="shared" si="8"/>
        <v>1.6800000000000002E-2</v>
      </c>
      <c r="J15" s="60">
        <f t="shared" si="8"/>
        <v>1.6800000000000002E-2</v>
      </c>
      <c r="K15" s="60">
        <f t="shared" si="8"/>
        <v>1.6800000000000002E-2</v>
      </c>
      <c r="L15" s="60">
        <f t="shared" si="8"/>
        <v>1.6800000000000002E-2</v>
      </c>
      <c r="M15" s="60">
        <f t="shared" si="8"/>
        <v>1.6800000000000002E-2</v>
      </c>
      <c r="N15" s="60">
        <f t="shared" si="8"/>
        <v>1.6800000000000002E-2</v>
      </c>
      <c r="O15" s="60">
        <f t="shared" si="8"/>
        <v>1.6800000000000002E-2</v>
      </c>
      <c r="P15" s="60">
        <f t="shared" si="8"/>
        <v>1.6800000000000002E-2</v>
      </c>
      <c r="Q15" s="60">
        <f t="shared" si="8"/>
        <v>1.6800000000000002E-2</v>
      </c>
      <c r="R15" s="60">
        <f t="shared" si="8"/>
        <v>1.6800000000000002E-2</v>
      </c>
      <c r="S15" s="60">
        <f t="shared" si="8"/>
        <v>1.6800000000000002E-2</v>
      </c>
      <c r="T15" s="60">
        <f t="shared" si="8"/>
        <v>1.6800000000000002E-2</v>
      </c>
      <c r="U15" s="60">
        <f t="shared" si="8"/>
        <v>1.6800000000000002E-2</v>
      </c>
      <c r="V15" s="60">
        <f t="shared" si="8"/>
        <v>1.6800000000000002E-2</v>
      </c>
      <c r="W15" s="60">
        <f t="shared" si="8"/>
        <v>1.6800000000000002E-2</v>
      </c>
      <c r="X15" s="60">
        <f t="shared" si="8"/>
        <v>1.6800000000000002E-2</v>
      </c>
      <c r="Y15" s="60">
        <f t="shared" si="8"/>
        <v>1.6800000000000002E-2</v>
      </c>
      <c r="Z15" s="2">
        <f t="shared" si="4"/>
        <v>1</v>
      </c>
    </row>
    <row r="16" spans="1:26" x14ac:dyDescent="0.35">
      <c r="A16" s="23" t="s">
        <v>142</v>
      </c>
      <c r="B16" s="23"/>
      <c r="C16" s="23"/>
      <c r="D16" s="96"/>
      <c r="E16" s="70"/>
      <c r="F16" s="60">
        <f>F15-F14</f>
        <v>2.3400000000000009E-3</v>
      </c>
      <c r="G16" s="60">
        <f t="shared" ref="G16:Y16" si="9">G15-G14</f>
        <v>3.1200000000000012E-3</v>
      </c>
      <c r="H16" s="60">
        <f t="shared" si="9"/>
        <v>3.9000000000000007E-3</v>
      </c>
      <c r="I16" s="60">
        <f t="shared" si="9"/>
        <v>4.6800000000000019E-3</v>
      </c>
      <c r="J16" s="60">
        <f t="shared" si="9"/>
        <v>4.6800000000000019E-3</v>
      </c>
      <c r="K16" s="60">
        <f t="shared" si="9"/>
        <v>4.6800000000000019E-3</v>
      </c>
      <c r="L16" s="60">
        <f t="shared" si="9"/>
        <v>4.6800000000000019E-3</v>
      </c>
      <c r="M16" s="60">
        <f t="shared" si="9"/>
        <v>4.6800000000000019E-3</v>
      </c>
      <c r="N16" s="60">
        <f t="shared" si="9"/>
        <v>4.6800000000000019E-3</v>
      </c>
      <c r="O16" s="60">
        <f t="shared" si="9"/>
        <v>4.6800000000000019E-3</v>
      </c>
      <c r="P16" s="60">
        <f t="shared" si="9"/>
        <v>4.6800000000000019E-3</v>
      </c>
      <c r="Q16" s="60">
        <f t="shared" si="9"/>
        <v>4.6800000000000019E-3</v>
      </c>
      <c r="R16" s="60">
        <f t="shared" si="9"/>
        <v>4.6800000000000019E-3</v>
      </c>
      <c r="S16" s="60">
        <f t="shared" si="9"/>
        <v>4.6800000000000019E-3</v>
      </c>
      <c r="T16" s="60">
        <f t="shared" si="9"/>
        <v>4.6800000000000019E-3</v>
      </c>
      <c r="U16" s="60">
        <f t="shared" si="9"/>
        <v>4.6800000000000019E-3</v>
      </c>
      <c r="V16" s="60">
        <f t="shared" si="9"/>
        <v>4.6800000000000019E-3</v>
      </c>
      <c r="W16" s="60">
        <f t="shared" si="9"/>
        <v>4.6800000000000019E-3</v>
      </c>
      <c r="X16" s="60">
        <f t="shared" si="9"/>
        <v>4.6800000000000019E-3</v>
      </c>
      <c r="Y16" s="60">
        <f t="shared" si="9"/>
        <v>4.6800000000000019E-3</v>
      </c>
      <c r="Z16" s="2">
        <f t="shared" si="4"/>
        <v>1</v>
      </c>
    </row>
    <row r="17" spans="1:25" x14ac:dyDescent="0.35">
      <c r="F17" s="66"/>
      <c r="G17" s="66"/>
      <c r="H17" s="66"/>
      <c r="I17" s="66"/>
      <c r="J17" s="66"/>
      <c r="K17" s="66"/>
      <c r="L17" s="66"/>
      <c r="M17" s="66"/>
      <c r="N17" s="66"/>
      <c r="O17" s="66"/>
      <c r="P17" s="66"/>
      <c r="Q17" s="66"/>
      <c r="R17" s="66"/>
      <c r="S17" s="66"/>
      <c r="T17" s="66"/>
      <c r="U17" s="66"/>
      <c r="V17" s="66"/>
      <c r="W17" s="66"/>
      <c r="X17" s="66"/>
      <c r="Y17" s="66"/>
    </row>
    <row r="18" spans="1:25" x14ac:dyDescent="0.35">
      <c r="A18" s="23" t="s">
        <v>138</v>
      </c>
      <c r="B18" s="23"/>
      <c r="C18" s="23"/>
      <c r="D18" s="96"/>
      <c r="E18" s="19">
        <v>0.02</v>
      </c>
    </row>
    <row r="19" spans="1:25" x14ac:dyDescent="0.35">
      <c r="A19" s="23" t="s">
        <v>139</v>
      </c>
      <c r="B19" s="23"/>
      <c r="C19" s="23"/>
      <c r="D19" s="96"/>
      <c r="E19" s="19">
        <v>0.02</v>
      </c>
    </row>
  </sheetData>
  <mergeCells count="27">
    <mergeCell ref="Y3:Y4"/>
    <mergeCell ref="Q3:Q4"/>
    <mergeCell ref="R3:R4"/>
    <mergeCell ref="S3:S4"/>
    <mergeCell ref="T3:T4"/>
    <mergeCell ref="U3:U4"/>
    <mergeCell ref="E3:E4"/>
    <mergeCell ref="F3:F4"/>
    <mergeCell ref="J3:J4"/>
    <mergeCell ref="K3:K4"/>
    <mergeCell ref="Z3:Z4"/>
    <mergeCell ref="I3:I4"/>
    <mergeCell ref="G3:G4"/>
    <mergeCell ref="H3:H4"/>
    <mergeCell ref="L3:L4"/>
    <mergeCell ref="M3:M4"/>
    <mergeCell ref="N3:N4"/>
    <mergeCell ref="O3:O4"/>
    <mergeCell ref="P3:P4"/>
    <mergeCell ref="V3:V4"/>
    <mergeCell ref="W3:W4"/>
    <mergeCell ref="X3:X4"/>
    <mergeCell ref="B2:C2"/>
    <mergeCell ref="A1:D1"/>
    <mergeCell ref="A3:A4"/>
    <mergeCell ref="C3:C4"/>
    <mergeCell ref="B3:B4"/>
  </mergeCells>
  <hyperlinks>
    <hyperlink ref="A12" r:id="rId1" location="wie-hoch-ist-die-co2-steuer-in-deutschland-und-welche-entwicklung-nimmt-der-co2-preis-" display="CO2-Steuer" xr:uid="{C0738B82-3300-424F-AFB9-494039A2DCC9}"/>
    <hyperlink ref="C5" r:id="rId2" xr:uid="{2F442577-9C34-4881-B635-B21C234A002D}"/>
    <hyperlink ref="C7" r:id="rId3" xr:uid="{0A3AEE37-E0C8-4E38-A065-836B4593EACF}"/>
    <hyperlink ref="C8" r:id="rId4" display="Verivox Bestandskunden" xr:uid="{88413412-AC39-4D6D-87EC-F75CA3CAB3B8}"/>
    <hyperlink ref="E8" r:id="rId5" location=":~:text=Strompreis%3A%2037%20bis%2042%20Cent,Jahre%202024%20und%202025%20angenommen." display="ZfK" xr:uid="{C32C13F1-DF54-43FF-8A0A-8C5E1D6BF840}"/>
    <hyperlink ref="E6" r:id="rId6" location=":~:text=Strompreis%3A%2037%20bis%2042%20Cent,Jahre%202024%20und%202025%20angenommen." display="ZfK" xr:uid="{01168FD0-679E-41DE-8E33-63EF845E4CB5}"/>
    <hyperlink ref="C6" r:id="rId7" xr:uid="{2172E524-5154-477C-97A8-61560EE900B5}"/>
    <hyperlink ref="C9" r:id="rId8" xr:uid="{FAAF233C-834D-408A-A237-F480F3043526}"/>
    <hyperlink ref="C10" r:id="rId9" xr:uid="{76510537-F11F-4CFC-8DA6-CFEE0E3E7962}"/>
  </hyperlinks>
  <pageMargins left="0.7" right="0.7" top="0.78740157499999996" bottom="0.78740157499999996" header="0.3" footer="0.3"/>
  <pageSetup paperSize="9" scale="70" orientation="landscape" horizontalDpi="4294967293" r:id="rId10"/>
  <legacyDrawing r:id="rId1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p w D u V i P N h p G k A A A A 9 g A A A B I A H A B D b 2 5 m a W c v U G F j a 2 F n Z S 5 4 b W w g o h g A K K A U A A A A A A A A A A A A A A A A A A A A A A A A A A A A h Y + 9 D o I w H M R f h X S n X y 6 E / C m D u k l i Y m J c m 1 K h E Y q h x f J u D j 6 S r y B G U T f H u / t d c n e / 3 i A f 2 y a 6 6 N 6 Z z m a I Y Y o i b V V X G l t l a P D H O E G 5 g K 1 U J 1 n p a I K t S 0 d n M l R 7 f 0 4 J C S H g s M B d X x F O K S O H Y r N T t W 5 l b K z z 0 i q N P q 3 y f w s J 2 L / G C I 4 Z S z C n H F M g s w m F s V + A T 3 u f 6 Y 8 J y 6 H x Q 6 9 F q e P V G s g s g b w / i A d Q S w M E F A A C A A g A p w D u 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c A 7 l Y o i k e 4 D g A A A B E A A A A T A B w A R m 9 y b X V s Y X M v U 2 V j d G l v b j E u b S C i G A A o o B Q A A A A A A A A A A A A A A A A A A A A A A A A A A A A r T k 0 u y c z P U w i G 0 I b W A F B L A Q I t A B Q A A g A I A K c A 7 l Y j z Y a R p A A A A P Y A A A A S A A A A A A A A A A A A A A A A A A A A A A B D b 2 5 m a W c v U G F j a 2 F n Z S 5 4 b W x Q S w E C L Q A U A A I A C A C n A O 5 W D 8 r p q 6 Q A A A D p A A A A E w A A A A A A A A A A A A A A A A D w A A A A W 0 N v b n R l b n R f V H l w Z X N d L n h t b F B L A Q I t A B Q A A g A I A K c A 7 l 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a g r E p l g + U R L 0 y q K l N v n F q A A A A A A I A A A A A A B B m A A A A A Q A A I A A A A C j 3 1 n o s M 5 R L 5 M K 2 c W 8 9 1 a C S R U b Z u B 3 / 2 4 z c s R y F X 5 P 3 A A A A A A 6 A A A A A A g A A I A A A A J o d N Q e 4 m f W C U 8 C u q v 3 l k d l Y G 2 3 c G a p 7 F R Q e 1 n S U N p Y w U A A A A A W U P b X E B v N O K N i y q t 9 h + o 7 V / q N d u I T a 2 l 9 a S d m N / Z + j R w R x 4 j g G Y A + z o F m 1 q D m D b u R 6 3 w J V c z T M 4 X 5 y l + 0 5 b f H 0 6 d + 0 U V W C G 0 5 L g 3 w q Z 9 D k Q A A A A H E N 2 q Q i 9 S 4 0 K N N S B C s Q 5 T N k H 5 Y r l j w y P c B p f a U y a m D P V g t 2 A D x n V A z x i 6 Y l l Z Q Q O l g A Y / f 2 6 P e + 2 6 9 o k j i u t Q k = < / D a t a M a s h u p > 
</file>

<file path=customXml/itemProps1.xml><?xml version="1.0" encoding="utf-8"?>
<ds:datastoreItem xmlns:ds="http://schemas.openxmlformats.org/officeDocument/2006/customXml" ds:itemID="{112A9EF0-7B3B-46E1-BD24-B22146471D9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2" baseType="variant">
      <vt:variant>
        <vt:lpstr>Arbeitsblätter</vt:lpstr>
      </vt:variant>
      <vt:variant>
        <vt:i4>6</vt:i4>
      </vt:variant>
    </vt:vector>
  </HeadingPairs>
  <TitlesOfParts>
    <vt:vector size="6" baseType="lpstr">
      <vt:lpstr>Kosten und CO2-Emissionen 2023</vt:lpstr>
      <vt:lpstr>Kosten und CO2-Emissionen 2042</vt:lpstr>
      <vt:lpstr>Grafik</vt:lpstr>
      <vt:lpstr>Anschaffung und Förderung BEG</vt:lpstr>
      <vt:lpstr>Geothermie Landkreis-Vergleich</vt:lpstr>
      <vt:lpstr>Preisentwicklung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Krishna Shah</cp:lastModifiedBy>
  <dcterms:created xsi:type="dcterms:W3CDTF">2023-07-13T21:49:08Z</dcterms:created>
  <dcterms:modified xsi:type="dcterms:W3CDTF">2023-09-19T18:15:53Z</dcterms:modified>
</cp:coreProperties>
</file>